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charts/chart13.xml" ContentType="application/vnd.openxmlformats-officedocument.drawingml.chart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drawings/drawing19.xml" ContentType="application/vnd.openxmlformats-officedocument.drawing+xml"/>
  <Override PartName="/xl/charts/chart16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2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2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2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TEMP_DGH63\Cuarentena\"/>
    </mc:Choice>
  </mc:AlternateContent>
  <bookViews>
    <workbookView xWindow="-120" yWindow="-120" windowWidth="20730" windowHeight="11160" tabRatio="938" firstSheet="28" activeTab="45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40" sheetId="40" r:id="rId40"/>
    <sheet name="41" sheetId="41" r:id="rId41"/>
    <sheet name="42" sheetId="42" r:id="rId42"/>
    <sheet name="biodiesel" sheetId="60" r:id="rId43"/>
    <sheet name="44" sheetId="52" r:id="rId44"/>
    <sheet name="44 (2)" sheetId="53" r:id="rId45"/>
    <sheet name="45" sheetId="54" r:id="rId46"/>
    <sheet name="CALIDDA" sheetId="55" r:id="rId47"/>
    <sheet name="CONTUGAS" sheetId="56" r:id="rId48"/>
    <sheet name="QUAVII" sheetId="57" r:id="rId49"/>
    <sheet name="NATURGY" sheetId="58" r:id="rId50"/>
    <sheet name="Hoja2" sheetId="59" r:id="rId51"/>
  </sheets>
  <externalReferences>
    <externalReference r:id="rId52"/>
    <externalReference r:id="rId53"/>
  </externalReferences>
  <definedNames>
    <definedName name="_xlnm.Print_Area" localSheetId="20">'21'!$A$2:$G$50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60" l="1"/>
  <c r="F24" i="60" s="1"/>
  <c r="E23" i="60"/>
  <c r="E24" i="60" s="1"/>
  <c r="D23" i="60"/>
  <c r="D24" i="60" s="1"/>
  <c r="C23" i="60"/>
  <c r="C24" i="60" s="1"/>
  <c r="B23" i="60"/>
  <c r="B24" i="60" s="1"/>
  <c r="F21" i="60"/>
  <c r="E21" i="60"/>
  <c r="D21" i="60"/>
  <c r="C21" i="60"/>
  <c r="B21" i="60"/>
  <c r="G20" i="60"/>
  <c r="G19" i="60"/>
  <c r="G21" i="60" s="1"/>
  <c r="G23" i="60" s="1"/>
  <c r="G24" i="60" s="1"/>
  <c r="G16" i="60"/>
  <c r="F16" i="60"/>
  <c r="E16" i="60"/>
  <c r="D16" i="60"/>
  <c r="G15" i="60"/>
  <c r="F15" i="60"/>
  <c r="E15" i="60"/>
  <c r="D15" i="60"/>
  <c r="C15" i="60"/>
  <c r="C16" i="60" s="1"/>
  <c r="B15" i="60"/>
  <c r="B16" i="60" s="1"/>
  <c r="B23" i="59" l="1"/>
  <c r="F11" i="59"/>
  <c r="E11" i="59"/>
  <c r="D11" i="59"/>
  <c r="C11" i="59"/>
  <c r="B11" i="59"/>
  <c r="K22" i="58"/>
  <c r="J22" i="58"/>
  <c r="E22" i="58"/>
  <c r="D22" i="58"/>
  <c r="C22" i="58"/>
  <c r="B22" i="58"/>
  <c r="M14" i="58"/>
  <c r="L14" i="58"/>
  <c r="K14" i="58"/>
  <c r="J14" i="58"/>
  <c r="I14" i="58"/>
  <c r="H14" i="58"/>
  <c r="G14" i="58"/>
  <c r="F14" i="58"/>
  <c r="E14" i="58"/>
  <c r="D14" i="58"/>
  <c r="C14" i="58"/>
  <c r="B14" i="58"/>
  <c r="M6" i="58"/>
  <c r="L6" i="58"/>
  <c r="K6" i="58"/>
  <c r="J6" i="58"/>
  <c r="I6" i="58"/>
  <c r="H6" i="58"/>
  <c r="G6" i="58"/>
  <c r="F6" i="58"/>
  <c r="E6" i="58"/>
  <c r="D6" i="58"/>
  <c r="C6" i="58"/>
  <c r="B6" i="58"/>
  <c r="J27" i="57"/>
  <c r="I27" i="57"/>
  <c r="H27" i="57"/>
  <c r="E27" i="57"/>
  <c r="D27" i="57"/>
  <c r="M19" i="57"/>
  <c r="L19" i="57"/>
  <c r="K19" i="57"/>
  <c r="J19" i="57"/>
  <c r="I19" i="57"/>
  <c r="H19" i="57"/>
  <c r="G19" i="57"/>
  <c r="F19" i="57"/>
  <c r="E19" i="57"/>
  <c r="D19" i="57"/>
  <c r="C19" i="57"/>
  <c r="B19" i="57"/>
  <c r="M7" i="57"/>
  <c r="L7" i="57"/>
  <c r="K7" i="57"/>
  <c r="J7" i="57"/>
  <c r="I7" i="57"/>
  <c r="H7" i="57"/>
  <c r="G7" i="57"/>
  <c r="F7" i="57"/>
  <c r="E7" i="57"/>
  <c r="D7" i="57"/>
  <c r="C7" i="57"/>
  <c r="B7" i="57"/>
  <c r="J37" i="56"/>
  <c r="I37" i="56"/>
  <c r="H37" i="56"/>
  <c r="G37" i="56"/>
  <c r="F37" i="56"/>
  <c r="E37" i="56"/>
  <c r="D37" i="56"/>
  <c r="C37" i="56"/>
  <c r="B37" i="56"/>
  <c r="J26" i="56"/>
  <c r="I26" i="56"/>
  <c r="D26" i="56"/>
  <c r="C26" i="56"/>
  <c r="B26" i="56"/>
  <c r="M17" i="56"/>
  <c r="L17" i="56"/>
  <c r="K17" i="56"/>
  <c r="J17" i="56"/>
  <c r="I17" i="56"/>
  <c r="H17" i="56"/>
  <c r="G17" i="56"/>
  <c r="F17" i="56"/>
  <c r="E17" i="56"/>
  <c r="D17" i="56"/>
  <c r="C17" i="56"/>
  <c r="B17" i="56"/>
  <c r="M8" i="56"/>
  <c r="L8" i="56"/>
  <c r="K8" i="56"/>
  <c r="J8" i="56"/>
  <c r="I8" i="56"/>
  <c r="H8" i="56"/>
  <c r="G8" i="56"/>
  <c r="F8" i="56"/>
  <c r="E8" i="56"/>
  <c r="D8" i="56"/>
  <c r="C8" i="56"/>
  <c r="B8" i="56"/>
  <c r="G37" i="55"/>
  <c r="R37" i="55"/>
  <c r="Q37" i="55"/>
  <c r="P37" i="55"/>
  <c r="O37" i="55"/>
  <c r="N37" i="55"/>
  <c r="M37" i="55"/>
  <c r="L37" i="55"/>
  <c r="K37" i="55"/>
  <c r="J37" i="55"/>
  <c r="I37" i="55"/>
  <c r="H37" i="55"/>
  <c r="F37" i="55"/>
  <c r="E37" i="55"/>
  <c r="D37" i="55"/>
  <c r="C37" i="55"/>
  <c r="B37" i="55"/>
  <c r="R26" i="55"/>
  <c r="O26" i="55"/>
  <c r="N26" i="55"/>
  <c r="K26" i="55"/>
  <c r="J26" i="55"/>
  <c r="I26" i="55"/>
  <c r="H26" i="55"/>
  <c r="G26" i="55"/>
  <c r="F26" i="55"/>
  <c r="E26" i="55"/>
  <c r="D26" i="55"/>
  <c r="B26" i="55"/>
  <c r="C24" i="55"/>
  <c r="C26" i="55" s="1"/>
  <c r="Q22" i="55"/>
  <c r="Q26" i="55" s="1"/>
  <c r="P22" i="55"/>
  <c r="P26" i="55" s="1"/>
  <c r="M22" i="55"/>
  <c r="M26" i="55" s="1"/>
  <c r="L22" i="55"/>
  <c r="L26" i="55" s="1"/>
  <c r="M17" i="55"/>
  <c r="L17" i="55"/>
  <c r="K17" i="55"/>
  <c r="J17" i="55"/>
  <c r="I17" i="55"/>
  <c r="H17" i="55"/>
  <c r="G17" i="55"/>
  <c r="F17" i="55"/>
  <c r="E17" i="55"/>
  <c r="D17" i="55"/>
  <c r="C17" i="55"/>
  <c r="B17" i="55"/>
  <c r="M8" i="55"/>
  <c r="J8" i="55"/>
  <c r="C8" i="55"/>
  <c r="L4" i="55"/>
  <c r="L8" i="55" s="1"/>
  <c r="K4" i="55"/>
  <c r="K8" i="55" s="1"/>
  <c r="J4" i="55"/>
  <c r="I4" i="55"/>
  <c r="I8" i="55" s="1"/>
  <c r="H4" i="55"/>
  <c r="H8" i="55" s="1"/>
  <c r="G4" i="55"/>
  <c r="G8" i="55" s="1"/>
  <c r="F4" i="55"/>
  <c r="F8" i="55" s="1"/>
  <c r="E4" i="55"/>
  <c r="E8" i="55" s="1"/>
  <c r="D4" i="55"/>
  <c r="D8" i="55" s="1"/>
  <c r="C4" i="55"/>
  <c r="B4" i="55"/>
  <c r="B8" i="55" s="1"/>
  <c r="M6" i="54"/>
  <c r="L6" i="54"/>
  <c r="K6" i="54"/>
  <c r="J6" i="54"/>
  <c r="I6" i="54"/>
  <c r="H6" i="54"/>
  <c r="G6" i="54"/>
  <c r="F6" i="54"/>
  <c r="E6" i="54"/>
  <c r="D6" i="54"/>
  <c r="C6" i="54"/>
  <c r="B6" i="54"/>
  <c r="M7" i="53"/>
  <c r="L7" i="53"/>
  <c r="K7" i="53"/>
  <c r="J7" i="53"/>
  <c r="I7" i="53"/>
  <c r="H7" i="53"/>
  <c r="G7" i="53"/>
  <c r="F7" i="53"/>
  <c r="E7" i="53"/>
  <c r="D7" i="53"/>
  <c r="C7" i="53"/>
  <c r="B7" i="53"/>
  <c r="M7" i="52"/>
  <c r="L7" i="52"/>
  <c r="K7" i="52"/>
  <c r="J7" i="52"/>
  <c r="I7" i="52"/>
  <c r="H7" i="52"/>
  <c r="G7" i="52"/>
  <c r="F7" i="52"/>
  <c r="E7" i="52"/>
  <c r="D7" i="52"/>
  <c r="C7" i="52"/>
  <c r="B7" i="52"/>
  <c r="I23" i="26" l="1"/>
  <c r="I24" i="26" s="1"/>
  <c r="H23" i="26"/>
  <c r="H24" i="26" s="1"/>
  <c r="G23" i="26"/>
  <c r="F23" i="26"/>
  <c r="E23" i="26"/>
  <c r="D23" i="26"/>
  <c r="C23" i="26"/>
  <c r="B23" i="26"/>
  <c r="F50" i="25"/>
  <c r="E50" i="25"/>
  <c r="D50" i="25"/>
  <c r="C50" i="25"/>
  <c r="B50" i="25"/>
  <c r="G50" i="25" s="1"/>
  <c r="I18" i="24"/>
  <c r="H18" i="24"/>
  <c r="G18" i="24"/>
  <c r="F18" i="24"/>
  <c r="E18" i="24"/>
  <c r="D18" i="24"/>
  <c r="C18" i="24"/>
  <c r="B18" i="24"/>
  <c r="I11" i="24"/>
  <c r="H11" i="24"/>
  <c r="G11" i="24"/>
  <c r="F11" i="24"/>
  <c r="E11" i="24"/>
  <c r="D11" i="24"/>
  <c r="C11" i="24"/>
  <c r="B11" i="24"/>
  <c r="I8" i="24"/>
  <c r="H8" i="24"/>
  <c r="G8" i="24"/>
  <c r="F8" i="24"/>
  <c r="E8" i="24"/>
  <c r="D8" i="24"/>
  <c r="C8" i="24"/>
  <c r="B8" i="24"/>
  <c r="I3" i="24"/>
  <c r="I23" i="24" s="1"/>
  <c r="H3" i="24"/>
  <c r="H23" i="24" s="1"/>
  <c r="G3" i="24"/>
  <c r="G23" i="24" s="1"/>
  <c r="F3" i="24"/>
  <c r="F23" i="24" s="1"/>
  <c r="E3" i="24"/>
  <c r="E23" i="24" s="1"/>
  <c r="D3" i="24"/>
  <c r="D23" i="24" s="1"/>
  <c r="C3" i="24"/>
  <c r="C23" i="24" s="1"/>
  <c r="B3" i="24"/>
  <c r="B23" i="24" s="1"/>
  <c r="H7" i="23"/>
  <c r="G7" i="23"/>
  <c r="F7" i="23"/>
  <c r="E7" i="23"/>
  <c r="D7" i="23"/>
  <c r="C7" i="23"/>
  <c r="B7" i="23"/>
  <c r="I7" i="23" s="1"/>
  <c r="I6" i="23"/>
  <c r="I5" i="23"/>
  <c r="I4" i="23"/>
  <c r="I3" i="23"/>
  <c r="G46" i="21"/>
  <c r="F46" i="21"/>
  <c r="E46" i="21"/>
  <c r="D46" i="21"/>
  <c r="D50" i="21" s="1"/>
  <c r="C46" i="21"/>
  <c r="C50" i="21" s="1"/>
  <c r="B46" i="21"/>
  <c r="G27" i="21"/>
  <c r="F27" i="21"/>
  <c r="F50" i="21" s="1"/>
  <c r="E27" i="21"/>
  <c r="E50" i="21" s="1"/>
  <c r="D27" i="21"/>
  <c r="C27" i="21"/>
  <c r="B27" i="21"/>
  <c r="B50" i="21" s="1"/>
  <c r="J9" i="21"/>
  <c r="K9" i="21" s="1"/>
  <c r="J8" i="21"/>
  <c r="K8" i="21" s="1"/>
  <c r="J7" i="21"/>
  <c r="K7" i="21" s="1"/>
  <c r="J6" i="21"/>
  <c r="K6" i="21" s="1"/>
  <c r="J5" i="21"/>
  <c r="K4" i="21"/>
  <c r="J4" i="21"/>
  <c r="J3" i="21"/>
  <c r="K3" i="21" s="1"/>
  <c r="I49" i="20"/>
  <c r="H49" i="20"/>
  <c r="G49" i="20"/>
  <c r="F49" i="20"/>
  <c r="E49" i="20"/>
  <c r="D49" i="20"/>
  <c r="D50" i="20" s="1"/>
  <c r="D52" i="20" s="1"/>
  <c r="I37" i="20"/>
  <c r="H37" i="20"/>
  <c r="G37" i="20"/>
  <c r="F37" i="20"/>
  <c r="E37" i="20"/>
  <c r="E50" i="20" s="1"/>
  <c r="E52" i="20" s="1"/>
  <c r="D37" i="20"/>
  <c r="I20" i="20"/>
  <c r="H20" i="20"/>
  <c r="G20" i="20"/>
  <c r="G50" i="20" s="1"/>
  <c r="G52" i="20" s="1"/>
  <c r="F20" i="20"/>
  <c r="E20" i="20"/>
  <c r="D20" i="20"/>
  <c r="I4" i="20"/>
  <c r="H4" i="20"/>
  <c r="G4" i="20"/>
  <c r="F4" i="20"/>
  <c r="E4" i="20"/>
  <c r="D4" i="20"/>
  <c r="F50" i="20" l="1"/>
  <c r="F52" i="20" s="1"/>
  <c r="H50" i="20"/>
  <c r="H52" i="20" s="1"/>
  <c r="I50" i="20"/>
  <c r="I52" i="20" s="1"/>
  <c r="J10" i="21"/>
  <c r="K10" i="21" s="1"/>
  <c r="L7" i="21" s="1"/>
  <c r="G50" i="21"/>
  <c r="K5" i="21"/>
  <c r="D18" i="19"/>
  <c r="L5" i="21" l="1"/>
  <c r="L3" i="21"/>
  <c r="L8" i="21"/>
  <c r="L6" i="21"/>
  <c r="L9" i="21"/>
  <c r="L4" i="21"/>
  <c r="C9" i="15"/>
  <c r="D9" i="15"/>
  <c r="E9" i="15"/>
  <c r="F9" i="15"/>
  <c r="B9" i="15"/>
  <c r="L10" i="21" l="1"/>
  <c r="K8" i="14"/>
  <c r="K7" i="14"/>
  <c r="B9" i="14"/>
  <c r="D9" i="14"/>
  <c r="E9" i="14"/>
  <c r="F9" i="14"/>
  <c r="G9" i="14"/>
  <c r="H9" i="14"/>
  <c r="I9" i="14"/>
  <c r="C9" i="14"/>
  <c r="H51" i="13"/>
  <c r="O7" i="13"/>
  <c r="C51" i="13"/>
  <c r="T58" i="10" l="1"/>
  <c r="Q58" i="10"/>
  <c r="R58" i="10"/>
  <c r="S58" i="10"/>
  <c r="P58" i="10"/>
  <c r="L12" i="8" l="1"/>
  <c r="C45" i="6" l="1"/>
  <c r="D34" i="19" l="1"/>
  <c r="D31" i="19"/>
  <c r="D29" i="19"/>
  <c r="D24" i="19"/>
  <c r="D11" i="19"/>
  <c r="I11" i="18"/>
  <c r="H9" i="18"/>
  <c r="H8" i="18"/>
  <c r="H7" i="18"/>
  <c r="J14" i="17"/>
  <c r="I14" i="17"/>
  <c r="I13" i="17"/>
  <c r="H13" i="17"/>
  <c r="H14" i="17" s="1"/>
  <c r="G13" i="17"/>
  <c r="G14" i="17" s="1"/>
  <c r="F13" i="17"/>
  <c r="F14" i="17" s="1"/>
  <c r="E13" i="17"/>
  <c r="E14" i="17" s="1"/>
  <c r="D13" i="17"/>
  <c r="D14" i="17" s="1"/>
  <c r="C13" i="17"/>
  <c r="C14" i="17" s="1"/>
  <c r="J12" i="17"/>
  <c r="I12" i="17"/>
  <c r="H12" i="17"/>
  <c r="G12" i="17"/>
  <c r="F12" i="17"/>
  <c r="E12" i="17"/>
  <c r="D12" i="17"/>
  <c r="C12" i="17"/>
  <c r="J10" i="17"/>
  <c r="I7" i="17"/>
  <c r="I10" i="17" s="1"/>
  <c r="I15" i="17" s="1"/>
  <c r="H7" i="17"/>
  <c r="H10" i="17" s="1"/>
  <c r="G7" i="17"/>
  <c r="G10" i="17" s="1"/>
  <c r="F7" i="17"/>
  <c r="F10" i="17" s="1"/>
  <c r="F15" i="17" s="1"/>
  <c r="E7" i="17"/>
  <c r="E10" i="17" s="1"/>
  <c r="D7" i="17"/>
  <c r="D10" i="17" s="1"/>
  <c r="C7" i="17"/>
  <c r="C10" i="17" s="1"/>
  <c r="N47" i="16"/>
  <c r="M47" i="16"/>
  <c r="L47" i="16"/>
  <c r="K47" i="16"/>
  <c r="J47" i="16"/>
  <c r="I47" i="16"/>
  <c r="H47" i="16"/>
  <c r="G47" i="16"/>
  <c r="F47" i="16"/>
  <c r="E47" i="16"/>
  <c r="E48" i="16" s="1"/>
  <c r="D47" i="16"/>
  <c r="C47" i="16"/>
  <c r="C48" i="16" s="1"/>
  <c r="O46" i="16"/>
  <c r="O45" i="16"/>
  <c r="O44" i="16"/>
  <c r="O43" i="16"/>
  <c r="O42" i="16"/>
  <c r="O41" i="16"/>
  <c r="O40" i="16"/>
  <c r="N39" i="16"/>
  <c r="M39" i="16"/>
  <c r="L39" i="16"/>
  <c r="K39" i="16"/>
  <c r="J39" i="16"/>
  <c r="J48" i="16" s="1"/>
  <c r="I39" i="16"/>
  <c r="H39" i="16"/>
  <c r="H48" i="16" s="1"/>
  <c r="G39" i="16"/>
  <c r="F39" i="16"/>
  <c r="F48" i="16" s="1"/>
  <c r="E39" i="16"/>
  <c r="D39" i="16"/>
  <c r="C39" i="16"/>
  <c r="O38" i="16"/>
  <c r="O37" i="16"/>
  <c r="O36" i="16"/>
  <c r="O35" i="16"/>
  <c r="K31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O29" i="16"/>
  <c r="O28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O26" i="16"/>
  <c r="O25" i="16"/>
  <c r="O24" i="16"/>
  <c r="O23" i="16"/>
  <c r="O22" i="16"/>
  <c r="O21" i="16"/>
  <c r="O20" i="16"/>
  <c r="O19" i="16"/>
  <c r="N18" i="16"/>
  <c r="M18" i="16"/>
  <c r="M31" i="16" s="1"/>
  <c r="L18" i="16"/>
  <c r="L31" i="16" s="1"/>
  <c r="K18" i="16"/>
  <c r="J18" i="16"/>
  <c r="I18" i="16"/>
  <c r="H18" i="16"/>
  <c r="G18" i="16"/>
  <c r="F18" i="16"/>
  <c r="F31" i="16" s="1"/>
  <c r="E18" i="16"/>
  <c r="D18" i="16"/>
  <c r="C18" i="16"/>
  <c r="O17" i="16"/>
  <c r="O16" i="16"/>
  <c r="O15" i="16"/>
  <c r="O14" i="16"/>
  <c r="O13" i="16"/>
  <c r="O12" i="16"/>
  <c r="O11" i="16"/>
  <c r="O10" i="16"/>
  <c r="O9" i="16"/>
  <c r="N51" i="13"/>
  <c r="M51" i="13"/>
  <c r="L51" i="13"/>
  <c r="K51" i="13"/>
  <c r="J51" i="13"/>
  <c r="I51" i="13"/>
  <c r="G51" i="13"/>
  <c r="F51" i="13"/>
  <c r="E51" i="13"/>
  <c r="D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J19" i="12"/>
  <c r="N20" i="11"/>
  <c r="N26" i="11" s="1"/>
  <c r="N32" i="11" s="1"/>
  <c r="M20" i="11"/>
  <c r="M26" i="11" s="1"/>
  <c r="M32" i="11" s="1"/>
  <c r="L20" i="11"/>
  <c r="L26" i="11" s="1"/>
  <c r="L32" i="11" s="1"/>
  <c r="K20" i="11"/>
  <c r="K26" i="11" s="1"/>
  <c r="K32" i="11" s="1"/>
  <c r="J20" i="11"/>
  <c r="J26" i="11" s="1"/>
  <c r="J32" i="11" s="1"/>
  <c r="I20" i="11"/>
  <c r="I26" i="11" s="1"/>
  <c r="I32" i="11" s="1"/>
  <c r="H20" i="11"/>
  <c r="H26" i="11" s="1"/>
  <c r="H32" i="11" s="1"/>
  <c r="G20" i="11"/>
  <c r="G26" i="11" s="1"/>
  <c r="G32" i="11" s="1"/>
  <c r="F20" i="11"/>
  <c r="F26" i="11" s="1"/>
  <c r="F32" i="11" s="1"/>
  <c r="E20" i="11"/>
  <c r="E26" i="11" s="1"/>
  <c r="E32" i="11" s="1"/>
  <c r="D20" i="11"/>
  <c r="D26" i="11" s="1"/>
  <c r="D32" i="11" s="1"/>
  <c r="C20" i="11"/>
  <c r="C26" i="11" s="1"/>
  <c r="C32" i="11" s="1"/>
  <c r="O19" i="11"/>
  <c r="O18" i="11"/>
  <c r="J18" i="12" s="1"/>
  <c r="O17" i="11"/>
  <c r="J17" i="12" s="1"/>
  <c r="O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14" i="11"/>
  <c r="J14" i="12" s="1"/>
  <c r="J15" i="12" s="1"/>
  <c r="N13" i="11"/>
  <c r="N25" i="11" s="1"/>
  <c r="N31" i="11" s="1"/>
  <c r="M13" i="11"/>
  <c r="L13" i="11"/>
  <c r="L25" i="11" s="1"/>
  <c r="K13" i="11"/>
  <c r="J13" i="11"/>
  <c r="J25" i="11" s="1"/>
  <c r="I13" i="11"/>
  <c r="H13" i="11"/>
  <c r="H21" i="11" s="1"/>
  <c r="G13" i="11"/>
  <c r="F13" i="11"/>
  <c r="F25" i="11" s="1"/>
  <c r="E13" i="11"/>
  <c r="D13" i="11"/>
  <c r="C13" i="11"/>
  <c r="O12" i="11"/>
  <c r="J12" i="12" s="1"/>
  <c r="O11" i="11"/>
  <c r="J11" i="12" s="1"/>
  <c r="O10" i="11"/>
  <c r="J10" i="12" s="1"/>
  <c r="O9" i="11"/>
  <c r="J9" i="12" s="1"/>
  <c r="O8" i="11"/>
  <c r="J8" i="12" s="1"/>
  <c r="O7" i="11"/>
  <c r="J47" i="10"/>
  <c r="I47" i="10"/>
  <c r="J42" i="10"/>
  <c r="J48" i="10" s="1"/>
  <c r="J49" i="10" s="1"/>
  <c r="I42" i="10"/>
  <c r="J35" i="10"/>
  <c r="I35" i="10"/>
  <c r="J24" i="10"/>
  <c r="I24" i="10"/>
  <c r="J19" i="10"/>
  <c r="I19" i="10"/>
  <c r="N43" i="9"/>
  <c r="M43" i="9"/>
  <c r="L43" i="9"/>
  <c r="K43" i="9"/>
  <c r="J43" i="9"/>
  <c r="I43" i="9"/>
  <c r="H43" i="9"/>
  <c r="G43" i="9"/>
  <c r="F43" i="9"/>
  <c r="E43" i="9"/>
  <c r="D43" i="9"/>
  <c r="C43" i="9"/>
  <c r="O42" i="9"/>
  <c r="O41" i="9"/>
  <c r="O40" i="9"/>
  <c r="O39" i="9"/>
  <c r="N37" i="9"/>
  <c r="M37" i="9"/>
  <c r="L37" i="9"/>
  <c r="K37" i="9"/>
  <c r="J37" i="9"/>
  <c r="I37" i="9"/>
  <c r="H37" i="9"/>
  <c r="G37" i="9"/>
  <c r="F37" i="9"/>
  <c r="F45" i="9" s="1"/>
  <c r="E37" i="9"/>
  <c r="D37" i="9"/>
  <c r="C37" i="9"/>
  <c r="O36" i="9"/>
  <c r="O37" i="9" s="1"/>
  <c r="N31" i="9"/>
  <c r="M31" i="9"/>
  <c r="L31" i="9"/>
  <c r="K31" i="9"/>
  <c r="J31" i="9"/>
  <c r="I31" i="9"/>
  <c r="H31" i="9"/>
  <c r="G31" i="9"/>
  <c r="F31" i="9"/>
  <c r="E31" i="9"/>
  <c r="D31" i="9"/>
  <c r="C31" i="9"/>
  <c r="O30" i="9"/>
  <c r="O29" i="9"/>
  <c r="O28" i="9"/>
  <c r="O27" i="9"/>
  <c r="O26" i="9"/>
  <c r="N24" i="9"/>
  <c r="M24" i="9"/>
  <c r="L24" i="9"/>
  <c r="K24" i="9"/>
  <c r="J24" i="9"/>
  <c r="I24" i="9"/>
  <c r="H24" i="9"/>
  <c r="G24" i="9"/>
  <c r="F24" i="9"/>
  <c r="E24" i="9"/>
  <c r="D24" i="9"/>
  <c r="C24" i="9"/>
  <c r="O23" i="9"/>
  <c r="O22" i="9"/>
  <c r="O21" i="9"/>
  <c r="N19" i="9"/>
  <c r="M19" i="9"/>
  <c r="L19" i="9"/>
  <c r="K19" i="9"/>
  <c r="J19" i="9"/>
  <c r="I19" i="9"/>
  <c r="H19" i="9"/>
  <c r="G19" i="9"/>
  <c r="F19" i="9"/>
  <c r="E19" i="9"/>
  <c r="D19" i="9"/>
  <c r="C19" i="9"/>
  <c r="O18" i="9"/>
  <c r="O17" i="9"/>
  <c r="O16" i="9"/>
  <c r="O15" i="9"/>
  <c r="O14" i="9"/>
  <c r="O13" i="9"/>
  <c r="O12" i="9"/>
  <c r="O11" i="9"/>
  <c r="O10" i="9"/>
  <c r="O9" i="9"/>
  <c r="O8" i="9"/>
  <c r="L11" i="8"/>
  <c r="L10" i="8"/>
  <c r="J31" i="6"/>
  <c r="I31" i="6"/>
  <c r="G31" i="6"/>
  <c r="F31" i="6"/>
  <c r="E31" i="6"/>
  <c r="D31" i="6"/>
  <c r="C31" i="6"/>
  <c r="H18" i="6"/>
  <c r="H31" i="6" s="1"/>
  <c r="O13" i="11" l="1"/>
  <c r="I25" i="11"/>
  <c r="M25" i="11"/>
  <c r="D21" i="11"/>
  <c r="G48" i="16"/>
  <c r="D48" i="16"/>
  <c r="O24" i="9"/>
  <c r="T47" i="9" s="1"/>
  <c r="C25" i="11"/>
  <c r="G25" i="11"/>
  <c r="O51" i="13"/>
  <c r="E31" i="16"/>
  <c r="E50" i="16" s="1"/>
  <c r="E53" i="16" s="1"/>
  <c r="I48" i="16"/>
  <c r="J36" i="10"/>
  <c r="J37" i="10" s="1"/>
  <c r="O31" i="9"/>
  <c r="J45" i="9"/>
  <c r="E45" i="9"/>
  <c r="D33" i="9"/>
  <c r="E33" i="9"/>
  <c r="L33" i="9"/>
  <c r="C33" i="9"/>
  <c r="M33" i="9"/>
  <c r="F33" i="9"/>
  <c r="F47" i="9" s="1"/>
  <c r="D45" i="9"/>
  <c r="I45" i="9"/>
  <c r="G45" i="9"/>
  <c r="I33" i="9"/>
  <c r="I47" i="9" s="1"/>
  <c r="H45" i="9"/>
  <c r="J33" i="9"/>
  <c r="K33" i="9"/>
  <c r="H33" i="9"/>
  <c r="O43" i="9"/>
  <c r="I48" i="10"/>
  <c r="I49" i="10" s="1"/>
  <c r="S40" i="10" s="1"/>
  <c r="E25" i="11"/>
  <c r="O20" i="11"/>
  <c r="O30" i="16"/>
  <c r="H11" i="18"/>
  <c r="J11" i="18" s="1"/>
  <c r="N31" i="16"/>
  <c r="C31" i="16"/>
  <c r="C50" i="16" s="1"/>
  <c r="C53" i="16" s="1"/>
  <c r="H15" i="17"/>
  <c r="I21" i="11"/>
  <c r="D31" i="16"/>
  <c r="D50" i="16" s="1"/>
  <c r="D53" i="16" s="1"/>
  <c r="K48" i="16"/>
  <c r="N33" i="9"/>
  <c r="I36" i="10"/>
  <c r="I51" i="10" s="1"/>
  <c r="K25" i="11"/>
  <c r="K31" i="11" s="1"/>
  <c r="H25" i="11"/>
  <c r="H31" i="11" s="1"/>
  <c r="K9" i="14"/>
  <c r="O27" i="16"/>
  <c r="O39" i="16"/>
  <c r="L48" i="16"/>
  <c r="L50" i="16" s="1"/>
  <c r="L53" i="16" s="1"/>
  <c r="J15" i="17"/>
  <c r="D35" i="19"/>
  <c r="L45" i="9"/>
  <c r="G31" i="16"/>
  <c r="G50" i="16" s="1"/>
  <c r="G53" i="16" s="1"/>
  <c r="N48" i="16"/>
  <c r="N50" i="16" s="1"/>
  <c r="N53" i="16" s="1"/>
  <c r="D15" i="17"/>
  <c r="O19" i="9"/>
  <c r="T49" i="9" s="1"/>
  <c r="M45" i="9"/>
  <c r="N21" i="11"/>
  <c r="H31" i="16"/>
  <c r="O47" i="16"/>
  <c r="K45" i="9"/>
  <c r="M48" i="16"/>
  <c r="M50" i="16" s="1"/>
  <c r="M53" i="16" s="1"/>
  <c r="N45" i="9"/>
  <c r="G15" i="17"/>
  <c r="O18" i="16"/>
  <c r="O31" i="16" s="1"/>
  <c r="I31" i="16"/>
  <c r="I50" i="16" s="1"/>
  <c r="I53" i="16" s="1"/>
  <c r="C39" i="6"/>
  <c r="G33" i="9"/>
  <c r="C45" i="9"/>
  <c r="D25" i="11"/>
  <c r="D31" i="11" s="1"/>
  <c r="C21" i="11"/>
  <c r="O15" i="11"/>
  <c r="J7" i="12"/>
  <c r="J13" i="12" s="1"/>
  <c r="J31" i="16"/>
  <c r="J50" i="16" s="1"/>
  <c r="J53" i="16" s="1"/>
  <c r="L13" i="8"/>
  <c r="M12" i="8" s="1"/>
  <c r="M11" i="8"/>
  <c r="F31" i="11"/>
  <c r="F28" i="11"/>
  <c r="F29" i="11" s="1"/>
  <c r="F50" i="16"/>
  <c r="F53" i="16" s="1"/>
  <c r="O21" i="11"/>
  <c r="I31" i="11"/>
  <c r="I28" i="11"/>
  <c r="I29" i="11" s="1"/>
  <c r="K50" i="16"/>
  <c r="K53" i="16" s="1"/>
  <c r="J31" i="11"/>
  <c r="J28" i="11"/>
  <c r="J29" i="11" s="1"/>
  <c r="I37" i="10"/>
  <c r="J51" i="10"/>
  <c r="J52" i="10" s="1"/>
  <c r="L31" i="11"/>
  <c r="L28" i="11"/>
  <c r="L29" i="11" s="1"/>
  <c r="C15" i="17"/>
  <c r="H50" i="16"/>
  <c r="H53" i="16" s="1"/>
  <c r="E15" i="17"/>
  <c r="E31" i="11"/>
  <c r="E28" i="11"/>
  <c r="E29" i="11" s="1"/>
  <c r="G31" i="11"/>
  <c r="G28" i="11"/>
  <c r="G29" i="11" s="1"/>
  <c r="M31" i="11"/>
  <c r="M28" i="11"/>
  <c r="M29" i="11" s="1"/>
  <c r="D28" i="11"/>
  <c r="D29" i="11" s="1"/>
  <c r="E21" i="11"/>
  <c r="F21" i="11"/>
  <c r="G21" i="11"/>
  <c r="J21" i="11"/>
  <c r="K21" i="11"/>
  <c r="L21" i="11"/>
  <c r="M21" i="11"/>
  <c r="J16" i="12"/>
  <c r="J20" i="12" s="1"/>
  <c r="N28" i="11"/>
  <c r="N29" i="11" s="1"/>
  <c r="T48" i="9" l="1"/>
  <c r="S17" i="10"/>
  <c r="C28" i="11"/>
  <c r="C29" i="11" s="1"/>
  <c r="C31" i="11"/>
  <c r="J21" i="12"/>
  <c r="J22" i="12" s="1"/>
  <c r="L32" i="12" s="1"/>
  <c r="J47" i="9"/>
  <c r="C47" i="9"/>
  <c r="H47" i="9"/>
  <c r="K47" i="9"/>
  <c r="E47" i="9"/>
  <c r="D47" i="9"/>
  <c r="M47" i="9"/>
  <c r="N47" i="9"/>
  <c r="L47" i="9"/>
  <c r="T50" i="9"/>
  <c r="G47" i="9"/>
  <c r="O45" i="9"/>
  <c r="H28" i="11"/>
  <c r="H29" i="11" s="1"/>
  <c r="K28" i="11"/>
  <c r="K29" i="11" s="1"/>
  <c r="O33" i="9"/>
  <c r="O48" i="16"/>
  <c r="O50" i="16" s="1"/>
  <c r="O53" i="16" s="1"/>
  <c r="M10" i="8"/>
  <c r="K13" i="4"/>
  <c r="K41" i="3"/>
  <c r="K24" i="3"/>
  <c r="F36" i="2"/>
  <c r="L32" i="2" s="1"/>
  <c r="E36" i="2"/>
  <c r="L31" i="2" s="1"/>
  <c r="D36" i="2"/>
  <c r="L30" i="2" s="1"/>
  <c r="C36" i="2"/>
  <c r="L29" i="2" s="1"/>
  <c r="B36" i="2"/>
  <c r="L28" i="2" s="1"/>
  <c r="G35" i="2"/>
  <c r="G34" i="2"/>
  <c r="G33" i="2"/>
  <c r="G32" i="2"/>
  <c r="G31" i="2"/>
  <c r="G30" i="2"/>
  <c r="G29" i="2"/>
  <c r="G28" i="2"/>
  <c r="G27" i="2"/>
  <c r="G26" i="2"/>
  <c r="G25" i="2"/>
  <c r="G24" i="2"/>
  <c r="K16" i="2"/>
  <c r="J16" i="2"/>
  <c r="I16" i="2"/>
  <c r="H16" i="2"/>
  <c r="L27" i="2" s="1"/>
  <c r="G16" i="2"/>
  <c r="F16" i="2"/>
  <c r="E16" i="2"/>
  <c r="D16" i="2"/>
  <c r="C16" i="2"/>
  <c r="F51" i="1"/>
  <c r="L45" i="1" s="1"/>
  <c r="E51" i="1"/>
  <c r="D51" i="1"/>
  <c r="L43" i="1" s="1"/>
  <c r="C51" i="1"/>
  <c r="B51" i="1"/>
  <c r="L41" i="1" s="1"/>
  <c r="G50" i="1"/>
  <c r="G49" i="1"/>
  <c r="G48" i="1"/>
  <c r="G47" i="1"/>
  <c r="G46" i="1"/>
  <c r="G45" i="1"/>
  <c r="L44" i="1"/>
  <c r="G44" i="1"/>
  <c r="G43" i="1"/>
  <c r="L42" i="1"/>
  <c r="G42" i="1"/>
  <c r="G41" i="1"/>
  <c r="G40" i="1"/>
  <c r="G39" i="1"/>
  <c r="G51" i="1" s="1"/>
  <c r="J30" i="1"/>
  <c r="I30" i="1"/>
  <c r="H30" i="1"/>
  <c r="G30" i="1"/>
  <c r="F30" i="1"/>
  <c r="E30" i="1"/>
  <c r="D30" i="1"/>
  <c r="C30" i="1"/>
  <c r="K29" i="1"/>
  <c r="K16" i="1"/>
  <c r="K10" i="1"/>
  <c r="K30" i="1" l="1"/>
  <c r="L40" i="1" s="1"/>
  <c r="O47" i="9"/>
  <c r="G36" i="2"/>
  <c r="L33" i="2" s="1"/>
  <c r="L46" i="1"/>
  <c r="K20" i="3" l="1"/>
</calcChain>
</file>

<file path=xl/sharedStrings.xml><?xml version="1.0" encoding="utf-8"?>
<sst xmlns="http://schemas.openxmlformats.org/spreadsheetml/2006/main" count="2673" uniqueCount="861">
  <si>
    <t>Tabla N°01: Sísmica 2D registrada en áreas de exploración (KM) 2012 -2020</t>
  </si>
  <si>
    <t>SÍSMICA 2D REGISTRADA EN ÁREAS EN EXPLORACIÓN (KM)</t>
  </si>
  <si>
    <t>2012 - 2020</t>
  </si>
  <si>
    <t>Compañía</t>
  </si>
  <si>
    <t>Lote</t>
  </si>
  <si>
    <t>GOLD OIL</t>
  </si>
  <si>
    <t>XXI</t>
  </si>
  <si>
    <t>-</t>
  </si>
  <si>
    <t>VETRA</t>
  </si>
  <si>
    <t>XXV</t>
  </si>
  <si>
    <t>OLIMPYC</t>
  </si>
  <si>
    <t>XIII</t>
  </si>
  <si>
    <t xml:space="preserve">TOTAL  COSTA </t>
  </si>
  <si>
    <t xml:space="preserve">SAVIA </t>
  </si>
  <si>
    <t>Z-33</t>
  </si>
  <si>
    <t>ANADARKO</t>
  </si>
  <si>
    <t>Z-61</t>
  </si>
  <si>
    <t>Z-62</t>
  </si>
  <si>
    <t>Z-63</t>
  </si>
  <si>
    <t>CONVENIO GX-T</t>
  </si>
  <si>
    <t>Otros (*)</t>
  </si>
  <si>
    <t xml:space="preserve">TOTAL  ZÓCALO </t>
  </si>
  <si>
    <t>PETROLÍFERA</t>
  </si>
  <si>
    <t>SUBANDEAN</t>
  </si>
  <si>
    <t>BURLINGTON</t>
  </si>
  <si>
    <t>GRAN TIERRA</t>
  </si>
  <si>
    <t>CNPC</t>
  </si>
  <si>
    <t>CEPSA</t>
  </si>
  <si>
    <t>PACIFIC STRATUS</t>
  </si>
  <si>
    <t>PLUSPETROL</t>
  </si>
  <si>
    <t>REPSOL</t>
  </si>
  <si>
    <t>TOTAL  SELVA</t>
  </si>
  <si>
    <t>TOTAL PAÍS</t>
  </si>
  <si>
    <t xml:space="preserve">Fuente: Perupetro S.A. </t>
  </si>
  <si>
    <t>EXPLORACIÓN</t>
  </si>
  <si>
    <t>PROYECCION DE SISMICA 2D KM</t>
  </si>
  <si>
    <t>TOTAL
2D KM</t>
  </si>
  <si>
    <t>Gráfico N° 01: Proyección de sísmica 2D (Km), 2021-2025</t>
  </si>
  <si>
    <t>Z-38</t>
  </si>
  <si>
    <t>Acum. (2017-2020)</t>
  </si>
  <si>
    <t>XXIII</t>
  </si>
  <si>
    <t>XXIX</t>
  </si>
  <si>
    <t>Z-64</t>
  </si>
  <si>
    <t>Acum. (2021-2025)</t>
  </si>
  <si>
    <t>Z-67</t>
  </si>
  <si>
    <t>Z-68</t>
  </si>
  <si>
    <t>XXVII</t>
  </si>
  <si>
    <t>TOTAL</t>
  </si>
  <si>
    <t>Las Compañías Tullow Peru (Lotes Z-67, Z-68 y Z-64), Ricoil (Lote XXIX) y Petro Bayovar (Lote XXVII) tienen programado la ejecución de 3,430 Km de sísmica 2D en el periodo 2021- 2025.</t>
  </si>
  <si>
    <r>
      <t>Tabla N°02: Sísmica 3D registrada en áreas de exploración (KM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) 2012 -2020</t>
    </r>
  </si>
  <si>
    <r>
      <t>SÍSMICA 3D REGISTRADA EN ÁREAS EN EXPLORACIÓN (KM</t>
    </r>
    <r>
      <rPr>
        <b/>
        <vertAlign val="superscript"/>
        <sz val="8"/>
        <color rgb="FFFFFFFF"/>
        <rFont val="Arial"/>
        <family val="2"/>
      </rPr>
      <t>2</t>
    </r>
    <r>
      <rPr>
        <b/>
        <sz val="8"/>
        <color rgb="FFFFFFFF"/>
        <rFont val="Arial"/>
        <family val="2"/>
      </rPr>
      <t>)</t>
    </r>
  </si>
  <si>
    <t>BPZ</t>
  </si>
  <si>
    <t>Z-1</t>
  </si>
  <si>
    <t>Z-46</t>
  </si>
  <si>
    <t>Z-48</t>
  </si>
  <si>
    <r>
      <t>PROYECCION DE SISMICA 3D KM</t>
    </r>
    <r>
      <rPr>
        <b/>
        <vertAlign val="superscript"/>
        <sz val="9"/>
        <color theme="1"/>
        <rFont val="Arial"/>
        <family val="2"/>
      </rPr>
      <t>2</t>
    </r>
  </si>
  <si>
    <r>
      <t>TOTAL
3D KM</t>
    </r>
    <r>
      <rPr>
        <b/>
        <vertAlign val="superscript"/>
        <sz val="9"/>
        <color theme="1"/>
        <rFont val="Arial"/>
        <family val="2"/>
      </rPr>
      <t>2</t>
    </r>
  </si>
  <si>
    <r>
      <t>Gráfico N° 02: Proyección de sísmica 3D (Km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), 2021-2025</t>
    </r>
  </si>
  <si>
    <r>
      <t>La Compañía Anadarko (Lotes Z-61, Z-62 y Z-63) tienen programado la ejecución de 4,500 Km</t>
    </r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de sísmica 3D en el periodo 2021- 2025.</t>
    </r>
  </si>
  <si>
    <r>
      <t>Tabla N°03: Número de Pozos Exploratorios Perforados,</t>
    </r>
    <r>
      <rPr>
        <b/>
        <sz val="10"/>
        <color theme="1"/>
        <rFont val="Arial"/>
        <family val="2"/>
      </rPr>
      <t xml:space="preserve"> 2012 -2020</t>
    </r>
  </si>
  <si>
    <t>POZOS EXPLORATORIOS PERFORADOS (Número)</t>
  </si>
  <si>
    <t> 2012 - 2020</t>
  </si>
  <si>
    <t>GMP</t>
  </si>
  <si>
    <t>IV</t>
  </si>
  <si>
    <t>III</t>
  </si>
  <si>
    <t>X</t>
  </si>
  <si>
    <t>OLYMPIC</t>
  </si>
  <si>
    <t>GOLD</t>
  </si>
  <si>
    <t>UPLAND</t>
  </si>
  <si>
    <t>XXII</t>
  </si>
  <si>
    <t>XXIV</t>
  </si>
  <si>
    <t>FAULKNER</t>
  </si>
  <si>
    <t>UNIPETRO ABC</t>
  </si>
  <si>
    <t>IX</t>
  </si>
  <si>
    <t>RICOL</t>
  </si>
  <si>
    <t>SAVIA</t>
  </si>
  <si>
    <t>Z-2B</t>
  </si>
  <si>
    <t>BPZ EXPLORACIÓN Y EXPLOTACIÓN S.R.L.</t>
  </si>
  <si>
    <t>KEI</t>
  </si>
  <si>
    <t xml:space="preserve">TALISMAN </t>
  </si>
  <si>
    <t>HUNT OIL</t>
  </si>
  <si>
    <t>PETROTAL</t>
  </si>
  <si>
    <t>CONSULTORA</t>
  </si>
  <si>
    <t>PETROMINERALES</t>
  </si>
  <si>
    <t xml:space="preserve">ANDEAN </t>
  </si>
  <si>
    <t>Tabla N°04: Contratos en Exploración Vigentes, 2020</t>
  </si>
  <si>
    <t xml:space="preserve">CONTRATOS EN EXPLORACIÓN VIGENTES </t>
  </si>
  <si>
    <t>AL 31/12/2020</t>
  </si>
  <si>
    <t>Zona</t>
  </si>
  <si>
    <t>Compañías/ Consorcios</t>
  </si>
  <si>
    <t xml:space="preserve">Decreto </t>
  </si>
  <si>
    <t>Fecha</t>
  </si>
  <si>
    <t>Tipo</t>
  </si>
  <si>
    <t>Supremo</t>
  </si>
  <si>
    <t>D.S.</t>
  </si>
  <si>
    <t>Suscripción</t>
  </si>
  <si>
    <t>Contrato</t>
  </si>
  <si>
    <t>Selva Central</t>
  </si>
  <si>
    <t>PETROLÍFERA PETROLEUM  DEL PERU S.A.C.( 100%)</t>
  </si>
  <si>
    <t>029-2005-EM</t>
  </si>
  <si>
    <t>LICENCIA</t>
  </si>
  <si>
    <t>A/D 109-2007</t>
  </si>
  <si>
    <t>Contratos vigentes en exploración</t>
  </si>
  <si>
    <t xml:space="preserve">050-2010-EM </t>
  </si>
  <si>
    <t xml:space="preserve"> 009-2015-EM</t>
  </si>
  <si>
    <t>Noroeste</t>
  </si>
  <si>
    <t>002-2017- EM</t>
  </si>
  <si>
    <t>Zócalo</t>
  </si>
  <si>
    <t>034-2018-EM</t>
  </si>
  <si>
    <t>GOLD OIL PERU S.A.C (100%)</t>
  </si>
  <si>
    <t>024-2006-EM</t>
  </si>
  <si>
    <t>018-2012-EM</t>
  </si>
  <si>
    <t>030-2015-EM</t>
  </si>
  <si>
    <t>Gráfico N° 03: Contratos en Fase de Exploración,
según zona geográfica, 2020</t>
  </si>
  <si>
    <t>UPLAND OIL &amp; GAS LLC (100%)</t>
  </si>
  <si>
    <t>062-2007-EM</t>
  </si>
  <si>
    <t>016-2016-EM</t>
  </si>
  <si>
    <t>PETRO BAYOVAR INC. S.A., SUCURSAL DEL PERU (100%)</t>
  </si>
  <si>
    <t>023-2009-EM</t>
  </si>
  <si>
    <t>034-2016-EM</t>
  </si>
  <si>
    <t>RICOIL S.A.</t>
  </si>
  <si>
    <t>026-2015-EM</t>
  </si>
  <si>
    <t>KEI (PERU Z-38) PTY LTD., SUCURSAL DEL PERU (75%)
PITKIN PETROLEUM PERU Z-38 S.R.L. (25%)</t>
  </si>
  <si>
    <t xml:space="preserve"> 013-2007-EM</t>
  </si>
  <si>
    <t>052-2008-EM</t>
  </si>
  <si>
    <t xml:space="preserve">083-2009-EM </t>
  </si>
  <si>
    <t>006-2011-EM</t>
  </si>
  <si>
    <t xml:space="preserve"> 016-2012-EM</t>
  </si>
  <si>
    <t>006-2019-EM</t>
  </si>
  <si>
    <t>ANADARKO PERÚ B.V., SUCURSAL DEL PERÚ (100%)</t>
  </si>
  <si>
    <t>029-2017-EM</t>
  </si>
  <si>
    <t>030-2017-EM</t>
  </si>
  <si>
    <t>031-2017-EM</t>
  </si>
  <si>
    <t>TULLOW PERU LIMITED, SUCURSAL DEL PERÚ (100%)</t>
  </si>
  <si>
    <t>012-2019-EM</t>
  </si>
  <si>
    <t xml:space="preserve">LICENCIA </t>
  </si>
  <si>
    <t>016-2020-EM</t>
  </si>
  <si>
    <t>017-2020-EM</t>
  </si>
  <si>
    <t>TOTAL CONTRATOS EXPLORACIÓN</t>
  </si>
  <si>
    <t>El 58% de los Contratos de Exploración y Explotación que se encuentran en fase de Exploración se ubican en el Zócalo.</t>
  </si>
  <si>
    <t>Tabla N°05: Contratos Terminados, 2020</t>
  </si>
  <si>
    <t>CONTRATOS TERMINADOS AL 31.12.2020</t>
  </si>
  <si>
    <t>ZONA</t>
  </si>
  <si>
    <t>LOTE</t>
  </si>
  <si>
    <t>OPERADOR</t>
  </si>
  <si>
    <t>FASE</t>
  </si>
  <si>
    <t>ÚLTIMO DÍA DE VIGENCIA</t>
  </si>
  <si>
    <t>SELVA</t>
  </si>
  <si>
    <t>PLUSPETROL LOTE 56 S.A.</t>
  </si>
  <si>
    <t>Exploración</t>
  </si>
  <si>
    <t xml:space="preserve">REPSOL EXPLORACIÓN PERÚ, SUCURSAL DEL PERÚ </t>
  </si>
  <si>
    <t>Explotación</t>
  </si>
  <si>
    <t xml:space="preserve">POZOS DE DESARROLLO PERFORADOS (Número) </t>
  </si>
  <si>
    <t>2012 – 2020</t>
  </si>
  <si>
    <t>I</t>
  </si>
  <si>
    <t>PETROMONT</t>
  </si>
  <si>
    <t>II</t>
  </si>
  <si>
    <t>V</t>
  </si>
  <si>
    <t>SAPET</t>
  </si>
  <si>
    <t>VII/VI</t>
  </si>
  <si>
    <t>XV</t>
  </si>
  <si>
    <t>XX</t>
  </si>
  <si>
    <t>AGUAYTIA</t>
  </si>
  <si>
    <t>31-C</t>
  </si>
  <si>
    <t>Z-6</t>
  </si>
  <si>
    <t>PERENCO</t>
  </si>
  <si>
    <t>TOTAL PAIS</t>
  </si>
  <si>
    <t>CONTRATOS EN EXPLOTACIÓN VIGENTES AL 31/12/2020</t>
  </si>
  <si>
    <t>Decreto</t>
  </si>
  <si>
    <t>Fecha de Publicación</t>
  </si>
  <si>
    <t>Fecha de Suscripción</t>
  </si>
  <si>
    <t>Tipo de Contrato</t>
  </si>
  <si>
    <t>G. M. P.  S.A. (100%)</t>
  </si>
  <si>
    <t xml:space="preserve">030-91 EM </t>
  </si>
  <si>
    <t>SERVICIOS</t>
  </si>
  <si>
    <t xml:space="preserve">025-93-EM  </t>
  </si>
  <si>
    <t>C</t>
  </si>
  <si>
    <t xml:space="preserve">25-95-EM </t>
  </si>
  <si>
    <t xml:space="preserve">028-98-EM  </t>
  </si>
  <si>
    <t>019-2002-EM</t>
  </si>
  <si>
    <t>PETROLERA MONTERRICO S.A. (100%)</t>
  </si>
  <si>
    <t xml:space="preserve">039-95-EM   </t>
  </si>
  <si>
    <t xml:space="preserve">018-97-EM  </t>
  </si>
  <si>
    <t xml:space="preserve">031-99-EM     </t>
  </si>
  <si>
    <t xml:space="preserve"> 013-2004-EM </t>
  </si>
  <si>
    <t xml:space="preserve">001-2005-EM </t>
  </si>
  <si>
    <t>030-2005-EM</t>
  </si>
  <si>
    <t xml:space="preserve"> 024-2015-EM</t>
  </si>
  <si>
    <t>004-2015-EM</t>
  </si>
  <si>
    <t>005-2015-EM</t>
  </si>
  <si>
    <t>G. M. P.   S.A. (100%)</t>
  </si>
  <si>
    <t xml:space="preserve">038-93 -EM   </t>
  </si>
  <si>
    <t>031-2002-EM</t>
  </si>
  <si>
    <t>VI / VII</t>
  </si>
  <si>
    <t>SAPET DEVELOPMENT PERU INC.,SUC.PERU (100%)</t>
  </si>
  <si>
    <t>040-93-EM</t>
  </si>
  <si>
    <t>001-96-EM</t>
  </si>
  <si>
    <t>005-2000-EM</t>
  </si>
  <si>
    <t>016-2003-EM</t>
  </si>
  <si>
    <t>003-2006-EM</t>
  </si>
  <si>
    <t>048-2014-EM</t>
  </si>
  <si>
    <t>EMPRESA PETROLERA UNIPETRO ABC S.A.C. (100%)</t>
  </si>
  <si>
    <t>014-2015-EM</t>
  </si>
  <si>
    <t>CNPC  PERU S.A. (100%)</t>
  </si>
  <si>
    <t>15-94-EM</t>
  </si>
  <si>
    <t>33-96-EM</t>
  </si>
  <si>
    <t>42-96-EM</t>
  </si>
  <si>
    <t xml:space="preserve">006-2000-EM </t>
  </si>
  <si>
    <t xml:space="preserve">027-2001-EM </t>
  </si>
  <si>
    <t xml:space="preserve">020-2004-EM </t>
  </si>
  <si>
    <t>035-2004-EM</t>
  </si>
  <si>
    <t xml:space="preserve"> 017-2014-EM</t>
  </si>
  <si>
    <t>011-2019-EM</t>
  </si>
  <si>
    <t>OLYMPIC PERU, INC., SUC.DEL PERU (100%)</t>
  </si>
  <si>
    <t>015-96-EM</t>
  </si>
  <si>
    <t>019-2008-EM</t>
  </si>
  <si>
    <t xml:space="preserve">051-2011-EM </t>
  </si>
  <si>
    <t>013-98-EM</t>
  </si>
  <si>
    <t>001-2000-EM</t>
  </si>
  <si>
    <t xml:space="preserve"> 047-2014-EM </t>
  </si>
  <si>
    <t>01-2006-EM</t>
  </si>
  <si>
    <t>049-2008-EM</t>
  </si>
  <si>
    <t>Z</t>
  </si>
  <si>
    <t>SAVIA PERUANA S.A. (100%)</t>
  </si>
  <si>
    <t>044-93-EM</t>
  </si>
  <si>
    <t>OPERACIONES</t>
  </si>
  <si>
    <t>RS 158-1999-EM</t>
  </si>
  <si>
    <t>BPZ EXPLORACION &amp; PRODUCCION S.R.L.(51%)
FRONTERA ENERGY OFF SHORE PERU S.R.L(49%)</t>
  </si>
  <si>
    <t xml:space="preserve">052-2001-EM  </t>
  </si>
  <si>
    <t xml:space="preserve">045-2002-EM  </t>
  </si>
  <si>
    <t xml:space="preserve">003-2004-EM  </t>
  </si>
  <si>
    <t>A/D 044-2004</t>
  </si>
  <si>
    <t xml:space="preserve"> 002-2005-EM</t>
  </si>
  <si>
    <t>060-2008-EM</t>
  </si>
  <si>
    <t xml:space="preserve"> 049-2012-EM</t>
  </si>
  <si>
    <t>SAVIA PERU S.A. (100%)</t>
  </si>
  <si>
    <t>005-2002-EM</t>
  </si>
  <si>
    <t>037-2005-EM</t>
  </si>
  <si>
    <t>S</t>
  </si>
  <si>
    <t>PACIFIC STRATUS ENERGY  (100%)</t>
  </si>
  <si>
    <t xml:space="preserve"> 027-2015-EM</t>
  </si>
  <si>
    <t>PLUSPETROL NORTE S.A. (60%)
KOREA NATIONAL OIL CORP.,SUC. PERUANA(20%)
DAEWOO INTERNATIONAL CORP., SUC.PERUANA (11,67%)
SK CORPORATION, SUC. PERUANA  (8.33 %)</t>
  </si>
  <si>
    <t>16-94-EM</t>
  </si>
  <si>
    <t>030-96-EM</t>
  </si>
  <si>
    <t>028-2002-EM</t>
  </si>
  <si>
    <t xml:space="preserve"> 009-2003-EM</t>
  </si>
  <si>
    <t>15-2010-EM</t>
  </si>
  <si>
    <t>PERENCO PERÚ PETROLEUM LIMITED, SUCURSAL DEL PERÚ (20%)
PERENCO PERÚ BLOCK 39 LIMITED, SUCURSAL DEL PERÚ (9.5%)
PERENCO PERÚ PETROIL LIMITED, SUCURSAL DEL PERÚ (25.5%)
PVEP PERÚ, SUCURSAL PERUANA (35%)
RELIANCE EXPLORATION &amp; PRODUCTION DMCC, SUCURSAL DEL PERÚ (10%)</t>
  </si>
  <si>
    <t>028-99-EM</t>
  </si>
  <si>
    <t>008-2001-EM</t>
  </si>
  <si>
    <t>039-2002-EM</t>
  </si>
  <si>
    <t>014-2003-EM</t>
  </si>
  <si>
    <t>038-2003-EM</t>
  </si>
  <si>
    <t>018-2005-EM</t>
  </si>
  <si>
    <t>A/D 087-2005</t>
  </si>
  <si>
    <t>029-2006-EM</t>
  </si>
  <si>
    <t xml:space="preserve">A/D 125-2007
041-2009-EM
 025-2012-EM
 026-2014-EM </t>
  </si>
  <si>
    <t>04/10/2007
15/04/2009
27/06/2012
15/08/2014</t>
  </si>
  <si>
    <t xml:space="preserve">17/10/2007
21/05/2010
27/08/2012
29/09/2014 </t>
  </si>
  <si>
    <t>GEOPARK PERÚ S.A.C.(75%)/PETROLEOS DEL PERU - PETROPERU S.A.(25%)</t>
  </si>
  <si>
    <t>33-95-EM</t>
  </si>
  <si>
    <t>049-99-EM</t>
  </si>
  <si>
    <t>005-2001-EM</t>
  </si>
  <si>
    <t>006-2004-EM</t>
  </si>
  <si>
    <t>027-2004-EM</t>
  </si>
  <si>
    <t>077-2007-EM</t>
  </si>
  <si>
    <t>009-2010-EM</t>
  </si>
  <si>
    <t>021-2010-EM</t>
  </si>
  <si>
    <t>011-2013-EM</t>
  </si>
  <si>
    <t>031-2016-EM</t>
  </si>
  <si>
    <t>PERENCO PERU PETROLEUM LIMITED, SUCURSAL DEL PERÚ(5%)/PVEP - PERENCO PERU LIMITED, SUCURSAL DEL PERU(95%)</t>
  </si>
  <si>
    <t>38-95-EM</t>
  </si>
  <si>
    <t>32-97-EM</t>
  </si>
  <si>
    <t>048-99-EM</t>
  </si>
  <si>
    <t>007-2001-EM</t>
  </si>
  <si>
    <t>008-2003-EM</t>
  </si>
  <si>
    <t>044-2005-EM</t>
  </si>
  <si>
    <t>056-2007-EM</t>
  </si>
  <si>
    <t>043-2010-EM</t>
  </si>
  <si>
    <t>042-2010-EM</t>
  </si>
  <si>
    <t>PETROTAL PERU S.R.L. (100%)</t>
  </si>
  <si>
    <t>010-2005-EM</t>
  </si>
  <si>
    <t>AGUAYTIA ENERGY DEL PERU S.R.L.(100%)</t>
  </si>
  <si>
    <t>21-94-EM</t>
  </si>
  <si>
    <t>26-96-EM</t>
  </si>
  <si>
    <t>021-99-EM</t>
  </si>
  <si>
    <t>036-2001-EM</t>
  </si>
  <si>
    <t>PLUSPETROL PERU CORPORATION S.A.(2,2%)/SONATRACH PERU CORPORATION S.A.C.(10%)/PLUSPETROL LOTE 56 S.A.(42.6%)/TECPETROL BLOQUE 56 S.A.C.(10%)/HUNT OIL COMPANY OF PERU L.L.C.,SUCURSAL DEL PERU(25,2%)/REPSOL EXPLORACIÓN PERÚ, SUCURSAL DEL PERÚ(10%)</t>
  </si>
  <si>
    <t>033-2004-EM</t>
  </si>
  <si>
    <t>060-2005-EM</t>
  </si>
  <si>
    <t>039-2006-EM</t>
  </si>
  <si>
    <t>066-2009-EM</t>
  </si>
  <si>
    <t>PLUSPETROL PERU CORPORATION S.A.(2,2%)/PLUSPETROL CAMISEA S.A.(42.6%)/HUNT OIL COMPANY OF PERU L.L.C.,SUCURSAL DEL PERU(25,2%)/TECPETROL DEL PERU S.A.C.(10%)/SONATRACH PERU CORPORATION S.A.C.(10%)/REPSOL EXPLORACIÓN PERÚ, SUCURSAL DEL PERÚ(10%)</t>
  </si>
  <si>
    <t>021-2000-EM</t>
  </si>
  <si>
    <t>032-2003-EM</t>
  </si>
  <si>
    <t>023-2004-EM</t>
  </si>
  <si>
    <t>061-2005-EM</t>
  </si>
  <si>
    <t>006-2006-EM</t>
  </si>
  <si>
    <t>040-2006-EM</t>
  </si>
  <si>
    <t>064-2006-EM</t>
  </si>
  <si>
    <t>063-2009-EM</t>
  </si>
  <si>
    <t>023-2014-EM</t>
  </si>
  <si>
    <t>REPSOL EXPLORACION PERU, SUCURSAL DEL PERU(53,84%)/CNPC PERU S.A.(46,16%)</t>
  </si>
  <si>
    <t>043-2003-EM</t>
  </si>
  <si>
    <t>048-2006-EM</t>
  </si>
  <si>
    <t>055-2007-EM</t>
  </si>
  <si>
    <t>018-2014-EM</t>
  </si>
  <si>
    <t>CNPC PERU S.A.(100%)</t>
  </si>
  <si>
    <t>017-2005-EM</t>
  </si>
  <si>
    <t>009-2013-EM</t>
  </si>
  <si>
    <t>019-2014-EM</t>
  </si>
  <si>
    <t>9CONTRATOS EN EXPLOTACIÓN VIGENTES AL 31/12/2019</t>
  </si>
  <si>
    <t>PERENCO PERU PETROLEUM LIMITED, SUCURSAL DEL PERU (5%)
PERENCO PERU LIMITED, SUC. DEL PERU(95%)</t>
  </si>
  <si>
    <t xml:space="preserve">Costa </t>
  </si>
  <si>
    <t xml:space="preserve">043-2010-EM </t>
  </si>
  <si>
    <t>Zocalo</t>
  </si>
  <si>
    <t>042-2013-EM</t>
  </si>
  <si>
    <t>Selva</t>
  </si>
  <si>
    <t>PETROLEOS DEL PERU -PETROPERU S.A. (100%)</t>
  </si>
  <si>
    <t xml:space="preserve">33-95-EM        </t>
  </si>
  <si>
    <t xml:space="preserve">049-99-EM        </t>
  </si>
  <si>
    <t xml:space="preserve">005-2001-EM     </t>
  </si>
  <si>
    <t xml:space="preserve">006-2004-EM     </t>
  </si>
  <si>
    <t xml:space="preserve"> 011-2013-EM</t>
  </si>
  <si>
    <t xml:space="preserve">AGUAYTIA ENERGY DEL PERU S. R. L (100%) </t>
  </si>
  <si>
    <t xml:space="preserve">021-99-EM   </t>
  </si>
  <si>
    <t>PLUSPETROL PERU CORPORATION  S.A (2,2%)
PLUSPETROL LOTE 56 S.A (42.6%)
HUNT OIL COMPANY OF PERU L.L.C.,SUC. PERU (25,2%)
TECPETROL BLOQUE 56 S.A.C. (10%)
SONATRACH PERU CORP. S.A.C (10%)
REPSOL EXPLORACION (10%)</t>
  </si>
  <si>
    <t>CNPC PERU S.A. (100%)</t>
  </si>
  <si>
    <t>REPSOL EXPLORACION PERU, SUCURSAL DEL PERU (53,84%)
CNPC PERU S.A. (46,16%)</t>
  </si>
  <si>
    <t>CEPSA PERU S.A., SUCURSAL DEL PERU (70%)
PACIFIC STRATUS ENERGY DEL PERÚ S.A. (30%)</t>
  </si>
  <si>
    <t>075-2007-EM</t>
  </si>
  <si>
    <t>042-2008-EM</t>
  </si>
  <si>
    <t>013-2017-EM</t>
  </si>
  <si>
    <t>PETROTAL PERÚ S.R.L. (100%)</t>
  </si>
  <si>
    <t xml:space="preserve"> 050-2011-EM</t>
  </si>
  <si>
    <t xml:space="preserve"> 001-2013-EM</t>
  </si>
  <si>
    <t>045-2017-EM</t>
  </si>
  <si>
    <t>TOTAL CONTRATOS EXPLOTACIÓN</t>
  </si>
  <si>
    <t>PRODUCCIÓN FISCALIZADA MENSUAL DE HIDROCARBUROS LÍQUIDOS (BLS)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</si>
  <si>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</si>
  <si>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</si>
  <si>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</si>
  <si>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</si>
  <si>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</si>
  <si>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</si>
  <si>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</si>
  <si>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</si>
  <si>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</si>
  <si>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</si>
  <si>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</si>
  <si>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</si>
  <si>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  PETRÓLEO</t>
  </si>
  <si>
    <t>PET. MONTERRICO</t>
  </si>
  <si>
    <t>VI/VII</t>
  </si>
  <si>
    <t>UNIPETRO</t>
  </si>
  <si>
    <t xml:space="preserve">TOTAL COSTA </t>
  </si>
  <si>
    <t>FRONTERA OFF SHORE</t>
  </si>
  <si>
    <t>TOTAL  ZÓCALO</t>
  </si>
  <si>
    <t>FRONTERA</t>
  </si>
  <si>
    <t>PLUSPETROL NORTE</t>
  </si>
  <si>
    <t>MAPLE</t>
  </si>
  <si>
    <t>TOTAL SELVA</t>
  </si>
  <si>
    <t>TOTAL PAÍS PETROLEO</t>
  </si>
  <si>
    <t>LÍQUIDOS DEL GAS NATURAL</t>
  </si>
  <si>
    <t>TOTAL ZÓCALO</t>
  </si>
  <si>
    <t xml:space="preserve">AGUAYTIA  </t>
  </si>
  <si>
    <t xml:space="preserve">TOTAL SELVA </t>
  </si>
  <si>
    <t>TOTAL PAIS LÍQUIDOS DEL GAS NATURAL</t>
  </si>
  <si>
    <t>TOTAL PAIS HIDROCARBUROS LIQUIDOS (BLS)</t>
  </si>
  <si>
    <t>ZÓCALO</t>
  </si>
  <si>
    <t>COSTA</t>
  </si>
  <si>
    <t xml:space="preserve">PRODUCCIÓN FISCALIZADA ANUAL DE HIDROCARBUROS LÍQUIDOS (MBLS) </t>
  </si>
  <si>
    <t> 2013-2020</t>
  </si>
  <si>
    <r>
      <t>PETRÓLEO</t>
    </r>
    <r>
      <rPr>
        <b/>
        <sz val="8"/>
        <color rgb="FF000000"/>
        <rFont val="Arial"/>
        <family val="2"/>
      </rPr>
      <t> </t>
    </r>
  </si>
  <si>
    <t xml:space="preserve">II </t>
  </si>
  <si>
    <t>VII-VI</t>
  </si>
  <si>
    <t xml:space="preserve">Z-2B  </t>
  </si>
  <si>
    <t xml:space="preserve">TOTAL ZÓCALO </t>
  </si>
  <si>
    <t>1-AB</t>
  </si>
  <si>
    <t>PLUSPETROL E&amp;P</t>
  </si>
  <si>
    <t>31 B / D</t>
  </si>
  <si>
    <t xml:space="preserve">31-E  </t>
  </si>
  <si>
    <t>TOTAL PETRÓLEO (MBLS)</t>
  </si>
  <si>
    <t>TOTAL PETRÓLEO (MBPD))</t>
  </si>
  <si>
    <t>LÍQUIDOS DE GAS NATURAL</t>
  </si>
  <si>
    <t>31 C</t>
  </si>
  <si>
    <t>TOTAL LÍQUIDOS DE GAS NATURAL (MBLS)</t>
  </si>
  <si>
    <t>TOTAL LÍQUIDOS DE GAS NATURAL (MBPD)</t>
  </si>
  <si>
    <t>TOTAL HIDROCARBUROS LÍQUIDOS (MBLS)</t>
  </si>
  <si>
    <t>TOTAL HIDROCARBUROS LÍQUIDOS (MBPD)</t>
  </si>
  <si>
    <t>Petróleo</t>
  </si>
  <si>
    <t>Líquidos de Gas Natural</t>
  </si>
  <si>
    <t>PRODUCCIÓN FISCALIZADA MENSUAL DE GAS NATURAL (MPC)</t>
  </si>
  <si>
    <t>Total</t>
  </si>
  <si>
    <t xml:space="preserve">TOTAL ZOCALO </t>
  </si>
  <si>
    <t xml:space="preserve">PLUSPETROL </t>
  </si>
  <si>
    <t>Total Costa y Zócalo</t>
  </si>
  <si>
    <t xml:space="preserve">Total Selva </t>
  </si>
  <si>
    <t>Total (MMPC)</t>
  </si>
  <si>
    <t>PRODUCCIÓN FISCALIZADA ANUAL DE GAS NATURAL  (MMPC)</t>
  </si>
  <si>
    <t>2014-2020</t>
  </si>
  <si>
    <t>OLIMPIC</t>
  </si>
  <si>
    <t>TOTAL PAIS (MMPCD)</t>
  </si>
  <si>
    <t>Gas Natural</t>
  </si>
  <si>
    <t>INVERSIONES EN EXPLORACIÓN Y EXPLOTACIÓN POR CONTRATISTA (US$ MILLONES)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</si>
  <si>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</si>
  <si>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</si>
  <si>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</si>
  <si>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</si>
  <si>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</si>
  <si>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</si>
  <si>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</si>
  <si>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</si>
  <si>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</si>
  <si>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</si>
  <si>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</si>
  <si>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</si>
  <si>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AGUAYTIA ENERGY DEL PERÚ S.R.L.</t>
  </si>
  <si>
    <t>PACIFIC OFF SHORE PERU S.R.L</t>
  </si>
  <si>
    <t>CEPSA PERUANA S.AC.</t>
  </si>
  <si>
    <t>CNPC PERU S.A.</t>
  </si>
  <si>
    <t>FRONTERA ENERGY DEL PERU S.A.</t>
  </si>
  <si>
    <t>COMPAÑÍA CONSULTORA DE PETROLEO S.A.</t>
  </si>
  <si>
    <t xml:space="preserve">-   </t>
  </si>
  <si>
    <t>EMPRESA PETROLERA UNIPETRO ABC S.A.C.</t>
  </si>
  <si>
    <t>G.M.P. S.A.</t>
  </si>
  <si>
    <t>GEOPARK PERÚ S.A.C.</t>
  </si>
  <si>
    <t>GOLD OIL PERÚ S.A.C.</t>
  </si>
  <si>
    <t>PETROTAL PERU S.R.L.</t>
  </si>
  <si>
    <t>PERENCO PERU PETROLEUM LIMITED, SUCURSAL DEL PERÚ</t>
  </si>
  <si>
    <t xml:space="preserve"> GRAÑA Y MONTERO PETROLERA S.A. </t>
  </si>
  <si>
    <t>KEI (PERU Z-38) PTY LTD., SUCURSAL DEL PERU</t>
  </si>
  <si>
    <t>MAPLE GAS CORPORATION DEL PERÚ S.R.L.</t>
  </si>
  <si>
    <t>31E</t>
  </si>
  <si>
    <t>OLYMPIC PERU INC., SUCURSAL DEL PERÚ S.A.</t>
  </si>
  <si>
    <t>PETROLERA MONTERRICO S.A.</t>
  </si>
  <si>
    <t>PETRO BAYOVAR INC., SUCURSAL DEL PERU</t>
  </si>
  <si>
    <t>PETROLERA MONTERICO S.A.</t>
  </si>
  <si>
    <t>PETROLÍFERA PETROLEUM DEL PERÚ S.R.L.</t>
  </si>
  <si>
    <t>PLUSPETROL NORTE S.A.</t>
  </si>
  <si>
    <t>PLUSPETROL PERU CORPORATION S.A.</t>
  </si>
  <si>
    <t>REPSOL EXPLORACION PERU, SUCURSAL DEL PERU</t>
  </si>
  <si>
    <t>SAPET DEVELOPMENT PERU INC., SUCURSAL DEL PERU</t>
  </si>
  <si>
    <t>VII_VI</t>
  </si>
  <si>
    <t>SAVIA PERU S.A.</t>
  </si>
  <si>
    <t>ANADARKO PERU B.V. SUCURSAL PERUANA</t>
  </si>
  <si>
    <t>TULLOW PERU LIMITED, SUCURSAL DEL PERÚ</t>
  </si>
  <si>
    <t>UPLAND OIL AND GAS L.L.C., SUCURSAL DEL PERU</t>
  </si>
  <si>
    <t>INVERSIONES EN EXPLORACIÓN Y EXPLOTACIÓN ANUALIZADAS (US$ MILLONES)</t>
  </si>
  <si>
    <t>EXPLOTACIÓN</t>
  </si>
  <si>
    <t>INVERSIONES EN EXPLORACIÓN Y EXPLOTACIÓN (US$ MILLONES)</t>
  </si>
  <si>
    <t>Fase</t>
  </si>
  <si>
    <t>Gráfico N°15: Proyección de las inversiones en Exploración y Explotación de
Hidrocarburos (US$ Millones)</t>
  </si>
  <si>
    <t>REGALÍAS COBRADAS POR EL ESTADO (US$ Millones)</t>
  </si>
  <si>
    <t>HIDROCARBUROS LÍQUIDOS</t>
  </si>
  <si>
    <t>G.M.P</t>
  </si>
  <si>
    <t>VI-VII</t>
  </si>
  <si>
    <t>TOTAL NORTE</t>
  </si>
  <si>
    <t xml:space="preserve">AGUAYTIA </t>
  </si>
  <si>
    <t xml:space="preserve"> TOTAL H.L.</t>
  </si>
  <si>
    <t>GAS NATURAL </t>
  </si>
  <si>
    <t>88 melchorita</t>
  </si>
  <si>
    <t>88 Pt. Pisco</t>
  </si>
  <si>
    <t>56 Mercado ext.</t>
  </si>
  <si>
    <t>TOTAL G.N.</t>
  </si>
  <si>
    <t>TOTAL REGALÍAS</t>
  </si>
  <si>
    <t xml:space="preserve">RETRIBUCIONES (US$ Millones)  </t>
  </si>
  <si>
    <t>2013-2020</t>
  </si>
  <si>
    <t>NORTE</t>
  </si>
  <si>
    <t>ZOCALO</t>
  </si>
  <si>
    <t xml:space="preserve">TOTAL </t>
  </si>
  <si>
    <t xml:space="preserve"> INGRESOS AL ESTADO POR TIPO DE HIDROCARBURO (US$ Millones)</t>
  </si>
  <si>
    <t xml:space="preserve">Gas Natural </t>
  </si>
  <si>
    <t>Condensados</t>
  </si>
  <si>
    <t>TOTAL INGRESOS</t>
  </si>
  <si>
    <t>Gráfico N°16: Evolución de los ingresos del Estado por Contratos de Licencia y de Servicio (US$ Millones)</t>
  </si>
  <si>
    <t>DISTRIBUCIÓN DEL CANON DE HIDROCARBUROS (Nuevos Soles) - 2020</t>
  </si>
  <si>
    <t>Entidad</t>
  </si>
  <si>
    <t>%        Participación</t>
  </si>
  <si>
    <t>LORETO</t>
  </si>
  <si>
    <t>SERVICIO DE DEUDA</t>
  </si>
  <si>
    <t>(D. LEY Nº 21678/D.U. 027-98)</t>
  </si>
  <si>
    <t>GOBIERNO REGIONAL (vía PCM)</t>
  </si>
  <si>
    <t>UNIVERSIDAD NACIONAL AMAZONIA</t>
  </si>
  <si>
    <t>INSTITUTO PERUANO AMAZONÍA</t>
  </si>
  <si>
    <t>MUNICIPALIDADES (vía PCM)</t>
  </si>
  <si>
    <t>TOTAL LORETO</t>
  </si>
  <si>
    <t>UCAYALI</t>
  </si>
  <si>
    <t>GOBIERNO REGIONAL (Vía PCM)</t>
  </si>
  <si>
    <t>52-20</t>
  </si>
  <si>
    <t>(D. LEY Nº 23350/D.U. 027-98)</t>
  </si>
  <si>
    <t>GOBIERNO REGIONAL-INSTITUTOS</t>
  </si>
  <si>
    <t>0-3</t>
  </si>
  <si>
    <t>UNIVERSIDAD NACIONAL DE UCAYALI</t>
  </si>
  <si>
    <t>U. N. INTERCULTURAL DE LA AMAZONÍA</t>
  </si>
  <si>
    <t>3-2</t>
  </si>
  <si>
    <t>40-70</t>
  </si>
  <si>
    <t>TOTAL UCAYALI</t>
  </si>
  <si>
    <t>PIURA</t>
  </si>
  <si>
    <t>(D. LEY Nº 23630)</t>
  </si>
  <si>
    <t>UNIVERSIDAD NACIONAL  DE PIURA</t>
  </si>
  <si>
    <t>UNIVERSIDAD NACIONAL  DE FRONTERA</t>
  </si>
  <si>
    <t>INSTITUTOS TECNOLÓGICOS</t>
  </si>
  <si>
    <t>TOTAL PIURA</t>
  </si>
  <si>
    <t>TUMBES</t>
  </si>
  <si>
    <t>(D. LEY Nº 23871)</t>
  </si>
  <si>
    <t>UNIVERSIDAD NACIONAL</t>
  </si>
  <si>
    <t>TOTAL TUMBES</t>
  </si>
  <si>
    <t>PUERTO INCA - HUANUCO (Provincia)</t>
  </si>
  <si>
    <t>TOTAL PUERTO INCA HUANUCO</t>
  </si>
  <si>
    <t>CUSCO</t>
  </si>
  <si>
    <t>(D. LEY Nº 27506)</t>
  </si>
  <si>
    <t>TOTAL CUSCO</t>
  </si>
  <si>
    <t>Fuente: Perupetro S.A. Elaboración: DGH - MINEM</t>
  </si>
  <si>
    <t>Tabla N°06: Pozos de Desarrollo Perforados, 2012 - 2020</t>
  </si>
  <si>
    <t>Gráfico N° 04: Proyección del número de Pozos de Desarrollo Perforados, 2021 - 2025</t>
  </si>
  <si>
    <t>Entre el 2021 y 2025, se estima realizar la perforación de 359 pozos de desarrollo.</t>
  </si>
  <si>
    <t>CEPSA PERUANA S.A.C. (100%)</t>
  </si>
  <si>
    <t>Tabla N°07: Contrato en Explotación Vigentes, 2020</t>
  </si>
  <si>
    <t>El 46% de los Contratos de Exploración y Explotación de hidrocarburos que se encuentran en Fae de explotación se ubican en la zona Selva, mientras que el 42% en la zona Costa. Asimismo el 12% se ubica en el Zócalo.</t>
  </si>
  <si>
    <t>Gráfico N° 05: Contratos en fase de explotaicón según zona geográfica, 2020</t>
  </si>
  <si>
    <t>Tabla N°08: Producción Fiscalizada Mensual de Hidrocarburos Líquidos (BLS), 2020</t>
  </si>
  <si>
    <t>Gráfico N° 06: Evolución de la producción fiscalizada mensual de Hidrocarburos Líquidos 2020 (BLS)</t>
  </si>
  <si>
    <t>Gráfico N° 07: Producción de Hidrocarburos Líquidos, según zona geográfica, 2020</t>
  </si>
  <si>
    <t>La producción de Hidrocarburos Líauidos se concentra principalmente en la Región Selva (76%).</t>
  </si>
  <si>
    <t>Tabla N°09: Producción Fiscalizada Anual de Hidrocarburos Líquidos (BLS), 2013 - 2020</t>
  </si>
  <si>
    <t>Gráfico N°08: Evolución de la producción fiscalizada de petróleo (MBPD), 2013-2020</t>
  </si>
  <si>
    <t>En el 2020, la producción de petróleo se redujo en un 25%  con respecto al 2019.</t>
  </si>
  <si>
    <t>Gráfico N°9: Evolución de la producción fiscalizada de Líquidos de Gas Natural (MBPD), 2013-2020</t>
  </si>
  <si>
    <t>En el 2020, la producción fiscalizada de líquidos de gas natural se redujo en 2% con respecto al 2019.</t>
  </si>
  <si>
    <t>Gráfico N°10: Proyección de la Producción Fiscalizada de
Petróleo y Líquidos de Gas Natural, 2021-2025</t>
  </si>
  <si>
    <t>Tabla N°10: Producción Fiscalizada de Gas Natural (MPC), 2020</t>
  </si>
  <si>
    <t>Tabla N°11: Producción Fiscalizada Anual de Gas Natural (MMPC), 2013 - 2020</t>
  </si>
  <si>
    <t>En el 2020, la producción fiscalizada de gas natural se redujo en 11% con respecto al 2019.</t>
  </si>
  <si>
    <t>Tabla N°12: Inversiones en Exploración y Explotación por contratista, 2020</t>
  </si>
  <si>
    <t>Tabla N°13: Inversiones en Exploración y Explotación por contratista, 2013 - 2020</t>
  </si>
  <si>
    <t>2013 - 2020</t>
  </si>
  <si>
    <t>En el 2020, las inversiones en
Exploración se incrementaron
en 6% y las inversiones en
Explotación se redujeron en 67% con respecto al 2019.</t>
  </si>
  <si>
    <t>Tabla N°14: Inversiones en Exploración y Explotación, 2021 - 2025</t>
  </si>
  <si>
    <t>2021-2025</t>
  </si>
  <si>
    <t>Gráfico N°11: Producción fiscalizada de Gas Natural (MMPC) en el 2020</t>
  </si>
  <si>
    <t>Gráfico N°12: Evolución de la Producción Fiscalizada de Gas Natural (MMPCD), 2013-2020</t>
  </si>
  <si>
    <t>Gráfico N°13: Proyección de la producción fiscalizada de Gas Natural (MMPCD), 2021 - 2025</t>
  </si>
  <si>
    <t>Gráfico N°14: Evolución de las Inversiones en Exploración y Explotación de
Hidrocarburos (US$ Millones), 2014 - 2020</t>
  </si>
  <si>
    <t>Tabla N°16: Regalías cobradas por el Estado, 2020</t>
  </si>
  <si>
    <t>Tabla N°17: Retribuciones, 2020</t>
  </si>
  <si>
    <t>Tabla N°18: Ingresos al Esatdo por Tipo de Hidrocarburos, 2020</t>
  </si>
  <si>
    <t>Región</t>
  </si>
  <si>
    <t>Tabla N°19: Distribución de canon y sobrecanon de hidrocarburos, 2020</t>
  </si>
  <si>
    <t>Transferencias de Canon y sobrecanon</t>
  </si>
  <si>
    <t xml:space="preserve"> CARGAS A PROCESO</t>
  </si>
  <si>
    <t xml:space="preserve"> TOTAL</t>
  </si>
  <si>
    <t xml:space="preserve"> TALARA</t>
  </si>
  <si>
    <t xml:space="preserve"> IQUITOS</t>
  </si>
  <si>
    <t xml:space="preserve"> CONCHAN</t>
  </si>
  <si>
    <t xml:space="preserve"> PAMPILLA</t>
  </si>
  <si>
    <t xml:space="preserve"> PUCALLPA</t>
  </si>
  <si>
    <t xml:space="preserve"> Crudo Nacional</t>
  </si>
  <si>
    <t>Crudo Importado</t>
  </si>
  <si>
    <t>TOTAL DE CRUDO PROCESADO</t>
  </si>
  <si>
    <t xml:space="preserve"> OTRAS CARGAS</t>
  </si>
  <si>
    <r>
      <t xml:space="preserve"> </t>
    </r>
    <r>
      <rPr>
        <b/>
        <sz val="8"/>
        <color rgb="FFFFFFFF"/>
        <rFont val="Arial"/>
        <family val="2"/>
      </rPr>
      <t>PRODUCTOS EN PROCESO</t>
    </r>
  </si>
  <si>
    <t>Nafta Primaria</t>
  </si>
  <si>
    <t>Nafta Pesada</t>
  </si>
  <si>
    <t>Nafta Virgen</t>
  </si>
  <si>
    <t>Nafta Craqueada</t>
  </si>
  <si>
    <t>Diesel 2</t>
  </si>
  <si>
    <t>Diesel 2 S 50 PPM</t>
  </si>
  <si>
    <t>Gasoleo Liviano</t>
  </si>
  <si>
    <t>Gasoleo Pesado</t>
  </si>
  <si>
    <t>Material de Corte</t>
  </si>
  <si>
    <t>Crudo Reducido (Residual de Primaria)</t>
  </si>
  <si>
    <t>Residuo de vacío</t>
  </si>
  <si>
    <t>Slop</t>
  </si>
  <si>
    <t>Residual Asfaltico</t>
  </si>
  <si>
    <t>Sub Total</t>
  </si>
  <si>
    <r>
      <t xml:space="preserve"> </t>
    </r>
    <r>
      <rPr>
        <b/>
        <sz val="8"/>
        <color rgb="FFFFFFFF"/>
        <rFont val="Arial"/>
        <family val="2"/>
      </rPr>
      <t>PRODUCTOS TERMINADOS</t>
    </r>
  </si>
  <si>
    <t>Gas Licuado de Petroleo</t>
  </si>
  <si>
    <t>Gasolina Motor 97/95/90/84 Oct.</t>
  </si>
  <si>
    <t>Turbo A-1</t>
  </si>
  <si>
    <t>Diesel Marino</t>
  </si>
  <si>
    <t>Diesel B5</t>
  </si>
  <si>
    <t>Diesel B5 S50 PPM</t>
  </si>
  <si>
    <t xml:space="preserve">Biodiesel B100 </t>
  </si>
  <si>
    <t>Residual Marino</t>
  </si>
  <si>
    <t>Intermediate Fuel Oil - IFO</t>
  </si>
  <si>
    <t>Petroleo Industrial 6</t>
  </si>
  <si>
    <t>Petroleo Industrial 500</t>
  </si>
  <si>
    <t>Asfaltos Líquidos RC- MC</t>
  </si>
  <si>
    <t>Asfaltos Sólidos</t>
  </si>
  <si>
    <t>Solvente 1</t>
  </si>
  <si>
    <t>Solvente 3</t>
  </si>
  <si>
    <r>
      <t xml:space="preserve"> </t>
    </r>
    <r>
      <rPr>
        <b/>
        <sz val="8"/>
        <color rgb="FFFFFFFF"/>
        <rFont val="Arial"/>
        <family val="2"/>
      </rPr>
      <t>PRODUCTOS ADQUIRIDOS</t>
    </r>
  </si>
  <si>
    <t xml:space="preserve">HOGBS </t>
  </si>
  <si>
    <t>Alcohol Carburante</t>
  </si>
  <si>
    <t xml:space="preserve">MDBS </t>
  </si>
  <si>
    <t>Condensado de Camisea</t>
  </si>
  <si>
    <t>Gasolina Natural</t>
  </si>
  <si>
    <t>Etanol</t>
  </si>
  <si>
    <t xml:space="preserve">BiodieselB100 </t>
  </si>
  <si>
    <t>ULSD</t>
  </si>
  <si>
    <t>Gasolina de alto octanaje</t>
  </si>
  <si>
    <t>Nafta Craqueada de Imp.</t>
  </si>
  <si>
    <t>TOTAL OTRAS CARGAS PROCESADAS</t>
  </si>
  <si>
    <t xml:space="preserve"> CARGA TOTAL PROCESADA</t>
  </si>
  <si>
    <t xml:space="preserve">PRODUCCIÓN EN REFINERÍA </t>
  </si>
  <si>
    <t>TALARA</t>
  </si>
  <si>
    <t>IQUITOS</t>
  </si>
  <si>
    <t>CONCHAN</t>
  </si>
  <si>
    <t>PAMPILLA</t>
  </si>
  <si>
    <t>PUCALLPA</t>
  </si>
  <si>
    <t>PRODUCTO</t>
  </si>
  <si>
    <t>TOTAL (MBLS)</t>
  </si>
  <si>
    <t>TOTAL (MBPD)</t>
  </si>
  <si>
    <t>%</t>
  </si>
  <si>
    <t xml:space="preserve">PRODUCTOS TERMINADOS </t>
  </si>
  <si>
    <t>GLP</t>
  </si>
  <si>
    <t>Gasolinas/Gasoholes</t>
  </si>
  <si>
    <t>Gasolina 97 Octanos</t>
  </si>
  <si>
    <t>Turbo</t>
  </si>
  <si>
    <t>Gasolina 95 Octanos</t>
  </si>
  <si>
    <t>Diesel</t>
  </si>
  <si>
    <t>Gasolina 90 Octanos</t>
  </si>
  <si>
    <t>Residuales</t>
  </si>
  <si>
    <t>Gasolina 84 Octanos</t>
  </si>
  <si>
    <t>IFO/Diesel Marino</t>
  </si>
  <si>
    <t>Gasohol 98 Plus</t>
  </si>
  <si>
    <t>Otros</t>
  </si>
  <si>
    <t>Gasohol 97 Plus</t>
  </si>
  <si>
    <t>Gasohol 95 Plus</t>
  </si>
  <si>
    <t>Gasohol 90 Plus</t>
  </si>
  <si>
    <t>Gasohol 84 Plus</t>
  </si>
  <si>
    <t xml:space="preserve">Turbo Jet A-1 </t>
  </si>
  <si>
    <t xml:space="preserve">Turbo JP-5 </t>
  </si>
  <si>
    <t>Diesel Marino 2</t>
  </si>
  <si>
    <t xml:space="preserve">Diesel B5 </t>
  </si>
  <si>
    <t>Diesel B5 - S50</t>
  </si>
  <si>
    <t>IFO</t>
  </si>
  <si>
    <t>Petróleo Industrial 6</t>
  </si>
  <si>
    <t>Petróleo Industrial 500</t>
  </si>
  <si>
    <t>Asfalto Líquido</t>
  </si>
  <si>
    <t>Asfalto Sólido</t>
  </si>
  <si>
    <t xml:space="preserve">PRODUCTOS EN PROCESO </t>
  </si>
  <si>
    <t xml:space="preserve">Gas Seco/Gas Combustible/Gas UDP </t>
  </si>
  <si>
    <t xml:space="preserve">Gas UDV </t>
  </si>
  <si>
    <t xml:space="preserve">Gasolina Primaria Exp./ Gasolina Base </t>
  </si>
  <si>
    <t>Diesel 2 S-50</t>
  </si>
  <si>
    <t xml:space="preserve">Gasoleo Pesado (de vacìo) </t>
  </si>
  <si>
    <t xml:space="preserve">Crudo Reducido (Residual de Primaria) </t>
  </si>
  <si>
    <t>Slop Wax</t>
  </si>
  <si>
    <t>Fuel Oil</t>
  </si>
  <si>
    <t>Combustibles de Uso Propio</t>
  </si>
  <si>
    <t xml:space="preserve">Naftoil Industrial Premium </t>
  </si>
  <si>
    <t>Recuperaciòn de Productos</t>
  </si>
  <si>
    <t>Mermas</t>
  </si>
  <si>
    <t>Pèrdidas y Ganancias</t>
  </si>
  <si>
    <t>TOTAL DE PRODUCTOS EN REFINERíA</t>
  </si>
  <si>
    <t>PRODUCCIÓN EN REFINERÍA (MILES DE BARRILES POR DÍA)</t>
  </si>
  <si>
    <t>Producto</t>
  </si>
  <si>
    <t>Gasoholes/ Gasolinas</t>
  </si>
  <si>
    <t>Residual</t>
  </si>
  <si>
    <t>PRODUCCIÓN DE LÍQUIDOS DE GAS NATURAL (MILES DE BARRILES)</t>
  </si>
  <si>
    <t>Empresa</t>
  </si>
  <si>
    <t>Condensados de Gas Natural</t>
  </si>
  <si>
    <t>Propano/Butano</t>
  </si>
  <si>
    <t>Destilados Medios</t>
  </si>
  <si>
    <t>Diesel B5 S50</t>
  </si>
  <si>
    <t>Graña y Montero</t>
  </si>
  <si>
    <t>Aguaytía</t>
  </si>
  <si>
    <t>Pluspetrol</t>
  </si>
  <si>
    <t>Savia</t>
  </si>
  <si>
    <t xml:space="preserve">EEPSA/GMP </t>
  </si>
  <si>
    <t>Propano / Butano</t>
  </si>
  <si>
    <t xml:space="preserve"> Aguaytía </t>
  </si>
  <si>
    <t xml:space="preserve">Pluspetrol Perú Corporation </t>
  </si>
  <si>
    <t>Destilados medios</t>
  </si>
  <si>
    <t xml:space="preserve"> Procesadora de Gas Pariñas </t>
  </si>
  <si>
    <t>INVENTARIO DE COMBUSTIBLES AL 31.12.2020 (MILES DE BARRILES)</t>
  </si>
  <si>
    <t>CONCHÁN</t>
  </si>
  <si>
    <t>EL MILAGRO</t>
  </si>
  <si>
    <t>LA PAMPILLA</t>
  </si>
  <si>
    <t>TOTAL NACIONAL</t>
  </si>
  <si>
    <t>Petróleo Crudo</t>
  </si>
  <si>
    <t xml:space="preserve"> Productos en Proceso </t>
  </si>
  <si>
    <t xml:space="preserve">Nafta Liviana / Primaria </t>
  </si>
  <si>
    <t xml:space="preserve">Nafta Pesada </t>
  </si>
  <si>
    <t xml:space="preserve">Nafta Virgen </t>
  </si>
  <si>
    <t xml:space="preserve">Crudo Reducido (Residual de primaria) </t>
  </si>
  <si>
    <t xml:space="preserve">Gasoleo Liviano / Pesado (de vacío) </t>
  </si>
  <si>
    <t xml:space="preserve">Slop </t>
  </si>
  <si>
    <t xml:space="preserve">Slop Wax </t>
  </si>
  <si>
    <t xml:space="preserve">Nafta Craqueada/UCC </t>
  </si>
  <si>
    <t xml:space="preserve">Material de Corte </t>
  </si>
  <si>
    <t xml:space="preserve">Residuales </t>
  </si>
  <si>
    <t xml:space="preserve">Aceite Cíclico Ligero/Pesado </t>
  </si>
  <si>
    <t xml:space="preserve">Aceite Clarificado </t>
  </si>
  <si>
    <t xml:space="preserve">Destilados para mezcla </t>
  </si>
  <si>
    <t xml:space="preserve">Gasolina no terminadas </t>
  </si>
  <si>
    <t>Acido Nafténico</t>
  </si>
  <si>
    <t xml:space="preserve">Kerosene </t>
  </si>
  <si>
    <t xml:space="preserve">Diesel 2 </t>
  </si>
  <si>
    <t xml:space="preserve">Diesel 2 S50 </t>
  </si>
  <si>
    <t xml:space="preserve"> Productos Terminados </t>
  </si>
  <si>
    <t xml:space="preserve"> GLP </t>
  </si>
  <si>
    <t xml:space="preserve"> Gasolina 98 BA </t>
  </si>
  <si>
    <t xml:space="preserve"> Gasolina 97 Octanos - Sin Plomo </t>
  </si>
  <si>
    <t xml:space="preserve"> Gasolina 95 Octanos - Sin Plomo </t>
  </si>
  <si>
    <t xml:space="preserve"> Gasolina 90 Octanos - Sin Plomo </t>
  </si>
  <si>
    <t xml:space="preserve"> Gasolina 84 Octanos - Sin Plomo </t>
  </si>
  <si>
    <t xml:space="preserve"> Turbo Jet A-1 </t>
  </si>
  <si>
    <t xml:space="preserve"> Diesel B5  </t>
  </si>
  <si>
    <t xml:space="preserve"> Diesel B5 (S-50) </t>
  </si>
  <si>
    <t xml:space="preserve"> Diesel Marino/Marine Fuel Oil </t>
  </si>
  <si>
    <t xml:space="preserve"> I.F.O. / M.G.O. </t>
  </si>
  <si>
    <t xml:space="preserve"> Petróleo Industrial Nº5 </t>
  </si>
  <si>
    <t xml:space="preserve"> Petróleo Industrial N°6 </t>
  </si>
  <si>
    <t xml:space="preserve"> Petróleo Industrial 500 </t>
  </si>
  <si>
    <t xml:space="preserve"> Asfalto Líquido </t>
  </si>
  <si>
    <t xml:space="preserve"> Asfalto Sólido </t>
  </si>
  <si>
    <t xml:space="preserve"> Solvente 1 </t>
  </si>
  <si>
    <t xml:space="preserve"> Solvente 3 </t>
  </si>
  <si>
    <t xml:space="preserve"> Productos Adquiridos </t>
  </si>
  <si>
    <t xml:space="preserve"> Nafta Craqueada de Importación </t>
  </si>
  <si>
    <t xml:space="preserve"> HOGBS </t>
  </si>
  <si>
    <t xml:space="preserve"> Alcohol Carburante </t>
  </si>
  <si>
    <t xml:space="preserve"> Biodiesel B 100  </t>
  </si>
  <si>
    <t xml:space="preserve"> Etanol </t>
  </si>
  <si>
    <t>VENTAS DE COMBUSTIBLES, 2013-2020 (MILES DE BARRILES)</t>
  </si>
  <si>
    <t xml:space="preserve"> Producto </t>
  </si>
  <si>
    <t>Gas Licuado de Petróleo</t>
  </si>
  <si>
    <t>Gasolina 98</t>
  </si>
  <si>
    <t>Gasolina 97</t>
  </si>
  <si>
    <t>Gasolina 95</t>
  </si>
  <si>
    <t>Gasolina 90</t>
  </si>
  <si>
    <t>Gasolina 84</t>
  </si>
  <si>
    <t>Gasohol 98</t>
  </si>
  <si>
    <t>Gasohol 97</t>
  </si>
  <si>
    <t>Gasohol 95</t>
  </si>
  <si>
    <t>Gasohol 90</t>
  </si>
  <si>
    <t xml:space="preserve">Gasohol 84 </t>
  </si>
  <si>
    <t>Turbo A-1 / JP-5</t>
  </si>
  <si>
    <t>Diesel B-5</t>
  </si>
  <si>
    <t>Diesel B-5  S-50</t>
  </si>
  <si>
    <t>Petroleo Industrial Nº 6</t>
  </si>
  <si>
    <t xml:space="preserve">Petroleo Industrial 500 </t>
  </si>
  <si>
    <t>Diesel Marino/ I.F.O. / M.G.O.</t>
  </si>
  <si>
    <t xml:space="preserve">TOTAL (MBPD) </t>
  </si>
  <si>
    <t>Gasohol</t>
  </si>
  <si>
    <t>Diesel B5-S50</t>
  </si>
  <si>
    <t>GNV (Vehícular)</t>
  </si>
  <si>
    <t>GNV</t>
  </si>
  <si>
    <t>84 oct.</t>
  </si>
  <si>
    <t>90 oct.</t>
  </si>
  <si>
    <t>95 Oct.</t>
  </si>
  <si>
    <t>97 Oct.</t>
  </si>
  <si>
    <t>(Balón DE 10 KG)</t>
  </si>
  <si>
    <t>(Litros)</t>
  </si>
  <si>
    <r>
      <t>(M</t>
    </r>
    <r>
      <rPr>
        <b/>
        <vertAlign val="superscript"/>
        <sz val="8"/>
        <color rgb="FFFFFFFF"/>
        <rFont val="Arial"/>
        <family val="2"/>
      </rPr>
      <t>3</t>
    </r>
    <r>
      <rPr>
        <b/>
        <sz val="8"/>
        <color rgb="FFFFFFFF"/>
        <rFont val="Arial"/>
        <family val="2"/>
      </rPr>
      <t>)</t>
    </r>
  </si>
  <si>
    <t>Setiembre</t>
  </si>
  <si>
    <t>Lima</t>
  </si>
  <si>
    <t>84 Oct.</t>
  </si>
  <si>
    <t>90 Oct.</t>
  </si>
  <si>
    <t>(Balón de 10 KG)</t>
  </si>
  <si>
    <t>Arequipa</t>
  </si>
  <si>
    <t>Chiclayo</t>
  </si>
  <si>
    <t>(Balón de 10 kg)</t>
  </si>
  <si>
    <t>Chimbote</t>
  </si>
  <si>
    <t xml:space="preserve">Gasohol </t>
  </si>
  <si>
    <t>Cusco</t>
  </si>
  <si>
    <t>Huancayo</t>
  </si>
  <si>
    <t>Ica</t>
  </si>
  <si>
    <t>Moquegua</t>
  </si>
  <si>
    <t>Piura</t>
  </si>
  <si>
    <t>Puno</t>
  </si>
  <si>
    <t>Tacna</t>
  </si>
  <si>
    <t>Trujillo</t>
  </si>
  <si>
    <t>EXPORTACIONES (MILES DE BARRILES)</t>
  </si>
  <si>
    <t>Crudo</t>
  </si>
  <si>
    <t xml:space="preserve">  GLP/propano/butano</t>
  </si>
  <si>
    <t>Gasolinas</t>
  </si>
  <si>
    <t>Residuales/IFO/Fuel Oil</t>
  </si>
  <si>
    <t>EXPORTACIONES (MILES DE DÓLARES)</t>
  </si>
  <si>
    <t>IMPORTACIONES (MILES DE BARRILES)</t>
  </si>
  <si>
    <t>IMPORTACIONES (MILES DE DÓLARES)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</si>
  <si>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</si>
  <si>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</si>
  <si>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</si>
  <si>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</si>
  <si>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</si>
  <si>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</si>
  <si>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</si>
  <si>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</si>
  <si>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</si>
  <si>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</si>
  <si>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</si>
  <si>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</si>
  <si>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Lote 56</t>
  </si>
  <si>
    <t>Lote 88</t>
  </si>
  <si>
    <t>Lote 57</t>
  </si>
  <si>
    <t>TOTAL*</t>
  </si>
  <si>
    <t>* No considera información del Lote 57</t>
  </si>
  <si>
    <t>Mercado Interno</t>
  </si>
  <si>
    <t>Exportación</t>
  </si>
  <si>
    <t>Residencial</t>
  </si>
  <si>
    <t>Comercial</t>
  </si>
  <si>
    <t>Industrial</t>
  </si>
  <si>
    <t>Generación Eléctrica</t>
  </si>
  <si>
    <t>Cálidda - Volumen</t>
  </si>
  <si>
    <t>Cálidda - Consumidores (Anual)</t>
  </si>
  <si>
    <t>Comercial*</t>
  </si>
  <si>
    <t>Industrial**</t>
  </si>
  <si>
    <t>* Incluye Instituciones Públicas 2014-2020</t>
  </si>
  <si>
    <t>** Incluye clientes Iniciales e Independientes 2004-2009</t>
  </si>
  <si>
    <t>Cálidda - Volumen (Anual)</t>
  </si>
  <si>
    <t>Contugas - Volumen</t>
  </si>
  <si>
    <r>
      <t xml:space="preserve">Contugas </t>
    </r>
    <r>
      <rPr>
        <b/>
        <sz val="8"/>
        <color rgb="FF000000"/>
        <rFont val="Arial"/>
        <family val="2"/>
      </rPr>
      <t>- Consumidores (Anual)</t>
    </r>
  </si>
  <si>
    <r>
      <t>Residencial</t>
    </r>
    <r>
      <rPr>
        <vertAlign val="superscript"/>
        <sz val="8"/>
        <color rgb="FF000000"/>
        <rFont val="Arial"/>
        <family val="2"/>
      </rPr>
      <t>1</t>
    </r>
  </si>
  <si>
    <r>
      <t>Comercial</t>
    </r>
    <r>
      <rPr>
        <vertAlign val="superscript"/>
        <sz val="8"/>
        <color rgb="FF000000"/>
        <rFont val="Arial"/>
        <family val="2"/>
      </rPr>
      <t>2</t>
    </r>
  </si>
  <si>
    <r>
      <t>GNV</t>
    </r>
    <r>
      <rPr>
        <vertAlign val="superscript"/>
        <sz val="8"/>
        <color rgb="FF000000"/>
        <rFont val="Arial"/>
        <family val="2"/>
      </rPr>
      <t>3</t>
    </r>
  </si>
  <si>
    <r>
      <t>Industrial</t>
    </r>
    <r>
      <rPr>
        <vertAlign val="superscript"/>
        <sz val="8"/>
        <color rgb="FF000000"/>
        <rFont val="Arial"/>
        <family val="2"/>
      </rPr>
      <t>4</t>
    </r>
  </si>
  <si>
    <r>
      <t>1</t>
    </r>
    <r>
      <rPr>
        <i/>
        <sz val="7"/>
        <rFont val="Arial"/>
        <family val="2"/>
      </rPr>
      <t xml:space="preserve"> Incluye Categoría Tarifaria I</t>
    </r>
  </si>
  <si>
    <r>
      <t>2</t>
    </r>
    <r>
      <rPr>
        <i/>
        <sz val="7"/>
        <rFont val="Arial"/>
        <family val="2"/>
      </rPr>
      <t xml:space="preserve"> Incluye Categoría Tarifaria II-A, II-B y III</t>
    </r>
  </si>
  <si>
    <r>
      <t>3</t>
    </r>
    <r>
      <rPr>
        <i/>
        <sz val="7"/>
        <rFont val="Arial"/>
        <family val="2"/>
      </rPr>
      <t xml:space="preserve"> Incluye Categoría Tarifaria GNV</t>
    </r>
  </si>
  <si>
    <r>
      <t>4</t>
    </r>
    <r>
      <rPr>
        <i/>
        <sz val="7"/>
        <rFont val="Arial"/>
        <family val="2"/>
      </rPr>
      <t xml:space="preserve"> Incluye Categoría Tarifaria IV, V, VI, VII y Pesca</t>
    </r>
  </si>
  <si>
    <t>Quavii - Volumen</t>
  </si>
  <si>
    <t>Quavii - Consumidores (Anual)</t>
  </si>
  <si>
    <t>Quavii - Volumen (Anual)</t>
  </si>
  <si>
    <t>Naturgy - Volumen</t>
  </si>
  <si>
    <t>Naturgy - Consumidores (Anual)</t>
  </si>
  <si>
    <t>Naturgy - Volumen (Anual)</t>
  </si>
  <si>
    <t xml:space="preserve">                   -   </t>
  </si>
  <si>
    <t>US$ MM</t>
  </si>
  <si>
    <t>Transportadora de Gas del Perú S.A.</t>
  </si>
  <si>
    <t>Gas Natural de Lima y Callao S.A.</t>
  </si>
  <si>
    <t>Contugas S.A.C.</t>
  </si>
  <si>
    <t>Gases del Pacífico S.A.</t>
  </si>
  <si>
    <t>Concesión Sur Oeste*</t>
  </si>
  <si>
    <t>Gas Natural de Tumbes S.A.</t>
  </si>
  <si>
    <t>Gases del Norte del Perú S.A.C.</t>
  </si>
  <si>
    <t>Perú LNG</t>
  </si>
  <si>
    <t>* No se consideran inversiones para los siguientes años, teniendo en consideración la situación actual de la oncesión. Administración temporal a cargo de Petroperú.</t>
  </si>
  <si>
    <t>MMPC</t>
  </si>
  <si>
    <t>BBL</t>
  </si>
  <si>
    <t>Conexiones</t>
  </si>
  <si>
    <r>
      <t xml:space="preserve">Contugas - </t>
    </r>
    <r>
      <rPr>
        <b/>
        <sz val="8"/>
        <color rgb="FF00A79D"/>
        <rFont val="Arial"/>
        <family val="2"/>
      </rPr>
      <t xml:space="preserve">Volumen </t>
    </r>
    <r>
      <rPr>
        <b/>
        <sz val="8"/>
        <color rgb="FF000000"/>
        <rFont val="Arial"/>
        <family val="2"/>
      </rPr>
      <t>(Anual) - MMPC</t>
    </r>
  </si>
  <si>
    <t>IMPORTACIONES DE BIODIESEL (MILES DE BARRILES)</t>
  </si>
  <si>
    <t>Pais de Procedencia</t>
  </si>
  <si>
    <t>Argentina</t>
  </si>
  <si>
    <t>Alemania</t>
  </si>
  <si>
    <t>Ecuador</t>
  </si>
  <si>
    <t>Indonesia</t>
  </si>
  <si>
    <t>España</t>
  </si>
  <si>
    <t>Malasia</t>
  </si>
  <si>
    <t>Canadá</t>
  </si>
  <si>
    <t>Estados Unidos</t>
  </si>
  <si>
    <t>China</t>
  </si>
  <si>
    <t>Japón</t>
  </si>
  <si>
    <t>Bélgica</t>
  </si>
  <si>
    <t>Países Bajos</t>
  </si>
  <si>
    <t>DEMANDA NACIONAL DE BIODIESEL (MILES DE BARRILES)</t>
  </si>
  <si>
    <t xml:space="preserve">Total (MBPD)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</si>
</sst>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6" formatCode="0.0%"/>
    <numFmt numFmtId="167" formatCode="_-* #,##0.0_-;\-* #,##0.0_-;_-* &quot;-&quot;??_-;_-@_-"/>
    <numFmt numFmtId="168" formatCode="0.0"/>
    <numFmt numFmtId="169" formatCode="#,##0.0"/>
    <numFmt numFmtId="170" formatCode="_ * #,##0.0_ ;_ * \-#,##0.0_ ;_ * &quot;-&quot;??_ ;_ @_ "/>
    <numFmt numFmtId="171" formatCode="_-* #,##0.00\ [$€-1]_-;\-* #,##0.00\ [$€-1]_-;_-* &quot;-&quot;??\ [$€-1]_-"/>
    <numFmt numFmtId="172" formatCode="dd/mm/yyyy;@"/>
    <numFmt numFmtId="173" formatCode="_-* #,##0.000_-;\-* #,##0.000_-;_-* &quot;-&quot;??_-;_-@_-"/>
    <numFmt numFmtId="174" formatCode="_(* #,##0_);_(* \(#,##0\);_(* &quot;-&quot;_);_(@_)"/>
    <numFmt numFmtId="175" formatCode="_-* #,##0.00000_-;\-* #,##0.00000_-;_-* &quot;-&quot;??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8"/>
      <color rgb="FFFFFFFF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name val="Arial"/>
      <family val="2"/>
    </font>
    <font>
      <b/>
      <sz val="9"/>
      <color rgb="FFFFFFFF"/>
      <name val="Arial"/>
      <family val="2"/>
    </font>
    <font>
      <sz val="8"/>
      <color rgb="FFFFFFFF"/>
      <name val="Arial"/>
      <family val="2"/>
    </font>
    <font>
      <b/>
      <sz val="8"/>
      <color rgb="FFFFFFFF"/>
      <name val="Arial Narrow"/>
      <family val="2"/>
    </font>
    <font>
      <sz val="8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i/>
      <sz val="8"/>
      <color theme="1"/>
      <name val="Arial"/>
      <family val="2"/>
    </font>
    <font>
      <i/>
      <sz val="7"/>
      <color theme="1"/>
      <name val="Arial"/>
      <family val="2"/>
    </font>
    <font>
      <i/>
      <sz val="7.5"/>
      <name val="Arial"/>
      <family val="2"/>
    </font>
    <font>
      <b/>
      <sz val="8"/>
      <color rgb="FF161616"/>
      <name val="Arial"/>
      <family val="2"/>
    </font>
    <font>
      <b/>
      <sz val="8"/>
      <color rgb="FF00A79D"/>
      <name val="Arial"/>
      <family val="2"/>
    </font>
    <font>
      <vertAlign val="superscript"/>
      <sz val="8"/>
      <color rgb="FF000000"/>
      <name val="Arial"/>
      <family val="2"/>
    </font>
    <font>
      <i/>
      <vertAlign val="superscript"/>
      <sz val="7"/>
      <name val="Arial"/>
      <family val="2"/>
    </font>
    <font>
      <i/>
      <sz val="7"/>
      <name val="Arial"/>
      <family val="2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rgb="FF920000"/>
        <bgColor indexed="64"/>
      </patternFill>
    </fill>
    <fill>
      <patternFill patternType="solid">
        <fgColor rgb="FF00638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3D58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003248"/>
        <bgColor indexed="64"/>
      </patternFill>
    </fill>
    <fill>
      <patternFill patternType="mediumGray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mediumGray">
        <bgColor theme="6" tint="0.79998168889431442"/>
      </patternFill>
    </fill>
    <fill>
      <patternFill patternType="solid">
        <fgColor rgb="FF9B2D1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1E10D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4564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28" fillId="0" borderId="0"/>
    <xf numFmtId="171" fontId="15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3" fillId="0" borderId="0"/>
  </cellStyleXfs>
  <cellXfs count="56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 wrapText="1" readingOrder="1"/>
    </xf>
    <xf numFmtId="1" fontId="4" fillId="3" borderId="0" xfId="0" applyNumberFormat="1" applyFont="1" applyFill="1" applyAlignment="1">
      <alignment horizontal="center" vertical="center" wrapText="1" readingOrder="1"/>
    </xf>
    <xf numFmtId="0" fontId="5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center" vertical="center" wrapText="1" readingOrder="1"/>
    </xf>
    <xf numFmtId="3" fontId="5" fillId="0" borderId="0" xfId="0" applyNumberFormat="1" applyFont="1" applyAlignment="1">
      <alignment horizontal="right" vertical="center" wrapText="1" readingOrder="1"/>
    </xf>
    <xf numFmtId="0" fontId="5" fillId="4" borderId="0" xfId="0" applyFont="1" applyFill="1" applyAlignment="1">
      <alignment horizontal="left" vertical="center" wrapText="1" readingOrder="1"/>
    </xf>
    <xf numFmtId="0" fontId="5" fillId="4" borderId="0" xfId="0" applyFont="1" applyFill="1" applyAlignment="1">
      <alignment horizontal="center" vertical="center" wrapText="1" readingOrder="1"/>
    </xf>
    <xf numFmtId="3" fontId="5" fillId="4" borderId="0" xfId="0" applyNumberFormat="1" applyFont="1" applyFill="1" applyAlignment="1">
      <alignment horizontal="right" vertical="center" wrapText="1" readingOrder="1"/>
    </xf>
    <xf numFmtId="0" fontId="6" fillId="5" borderId="0" xfId="0" applyFont="1" applyFill="1" applyAlignment="1">
      <alignment horizontal="left" vertical="center" wrapText="1" readingOrder="1"/>
    </xf>
    <xf numFmtId="3" fontId="6" fillId="5" borderId="0" xfId="0" applyNumberFormat="1" applyFont="1" applyFill="1" applyAlignment="1">
      <alignment horizontal="right" vertical="center" wrapText="1" readingOrder="1"/>
    </xf>
    <xf numFmtId="0" fontId="5" fillId="6" borderId="0" xfId="0" applyFont="1" applyFill="1" applyAlignment="1">
      <alignment horizontal="left" vertical="center" wrapText="1" readingOrder="1"/>
    </xf>
    <xf numFmtId="0" fontId="5" fillId="6" borderId="0" xfId="0" applyFont="1" applyFill="1" applyAlignment="1">
      <alignment horizontal="center" vertical="center" wrapText="1" readingOrder="1"/>
    </xf>
    <xf numFmtId="3" fontId="5" fillId="6" borderId="0" xfId="0" applyNumberFormat="1" applyFont="1" applyFill="1" applyAlignment="1">
      <alignment horizontal="right" vertical="center" wrapText="1" readingOrder="1"/>
    </xf>
    <xf numFmtId="0" fontId="2" fillId="0" borderId="0" xfId="0" applyFont="1" applyFill="1" applyAlignment="1">
      <alignment horizontal="right"/>
    </xf>
    <xf numFmtId="0" fontId="4" fillId="3" borderId="0" xfId="0" applyFont="1" applyFill="1" applyAlignment="1">
      <alignment horizontal="left" vertical="center" wrapText="1" readingOrder="1"/>
    </xf>
    <xf numFmtId="3" fontId="4" fillId="3" borderId="0" xfId="0" applyNumberFormat="1" applyFont="1" applyFill="1" applyAlignment="1">
      <alignment horizontal="right" vertical="center" wrapText="1" readingOrder="1"/>
    </xf>
    <xf numFmtId="0" fontId="7" fillId="0" borderId="0" xfId="0" applyFont="1"/>
    <xf numFmtId="0" fontId="8" fillId="0" borderId="0" xfId="0" applyFont="1"/>
    <xf numFmtId="0" fontId="7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/>
    </xf>
    <xf numFmtId="3" fontId="8" fillId="7" borderId="8" xfId="0" applyNumberFormat="1" applyFont="1" applyFill="1" applyBorder="1" applyAlignment="1">
      <alignment horizontal="center" vertical="center"/>
    </xf>
    <xf numFmtId="3" fontId="8" fillId="7" borderId="9" xfId="0" applyNumberFormat="1" applyFont="1" applyFill="1" applyBorder="1" applyAlignment="1">
      <alignment horizontal="center" vertical="center"/>
    </xf>
    <xf numFmtId="3" fontId="8" fillId="7" borderId="7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3" fontId="8" fillId="7" borderId="11" xfId="0" applyNumberFormat="1" applyFont="1" applyFill="1" applyBorder="1" applyAlignment="1">
      <alignment horizontal="center" vertical="center"/>
    </xf>
    <xf numFmtId="3" fontId="8" fillId="7" borderId="12" xfId="0" applyNumberFormat="1" applyFont="1" applyFill="1" applyBorder="1" applyAlignment="1">
      <alignment horizontal="center" vertical="center"/>
    </xf>
    <xf numFmtId="3" fontId="8" fillId="7" borderId="10" xfId="0" applyNumberFormat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8" fillId="7" borderId="13" xfId="0" applyFont="1" applyFill="1" applyBorder="1" applyAlignment="1">
      <alignment horizontal="center" vertical="center"/>
    </xf>
    <xf numFmtId="3" fontId="8" fillId="7" borderId="14" xfId="0" applyNumberFormat="1" applyFont="1" applyFill="1" applyBorder="1" applyAlignment="1">
      <alignment horizontal="center" vertical="center"/>
    </xf>
    <xf numFmtId="3" fontId="8" fillId="7" borderId="15" xfId="0" applyNumberFormat="1" applyFont="1" applyFill="1" applyBorder="1" applyAlignment="1">
      <alignment horizontal="center" vertical="center"/>
    </xf>
    <xf numFmtId="3" fontId="8" fillId="7" borderId="13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6" fillId="0" borderId="0" xfId="0" applyNumberFormat="1" applyFont="1" applyAlignment="1">
      <alignment horizontal="right" vertical="center" wrapText="1" readingOrder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 readingOrder="1"/>
    </xf>
    <xf numFmtId="0" fontId="5" fillId="6" borderId="0" xfId="0" applyFont="1" applyFill="1" applyAlignment="1">
      <alignment horizontal="right" vertical="center" wrapText="1" readingOrder="1"/>
    </xf>
    <xf numFmtId="0" fontId="6" fillId="5" borderId="0" xfId="0" applyFont="1" applyFill="1" applyAlignment="1">
      <alignment horizontal="right" vertical="center" wrapText="1" readingOrder="1"/>
    </xf>
    <xf numFmtId="0" fontId="4" fillId="3" borderId="0" xfId="0" applyFont="1" applyFill="1" applyAlignment="1">
      <alignment horizontal="right" vertical="center" wrapText="1" readingOrder="1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ill="1" applyAlignment="1">
      <alignment horizontal="center"/>
    </xf>
    <xf numFmtId="0" fontId="4" fillId="3" borderId="0" xfId="0" applyFont="1" applyFill="1" applyAlignment="1">
      <alignment horizontal="center" vertical="center" wrapText="1" readingOrder="1"/>
    </xf>
    <xf numFmtId="0" fontId="5" fillId="8" borderId="20" xfId="0" applyFont="1" applyFill="1" applyBorder="1" applyAlignment="1">
      <alignment horizontal="right" vertical="center" wrapText="1" readingOrder="1"/>
    </xf>
    <xf numFmtId="14" fontId="5" fillId="8" borderId="20" xfId="0" applyNumberFormat="1" applyFont="1" applyFill="1" applyBorder="1" applyAlignment="1">
      <alignment horizontal="right" vertical="center" wrapText="1" readingOrder="1"/>
    </xf>
    <xf numFmtId="0" fontId="5" fillId="8" borderId="0" xfId="0" applyFont="1" applyFill="1" applyBorder="1" applyAlignment="1">
      <alignment horizontal="right" vertical="center" wrapText="1" readingOrder="1"/>
    </xf>
    <xf numFmtId="14" fontId="5" fillId="8" borderId="0" xfId="0" applyNumberFormat="1" applyFont="1" applyFill="1" applyBorder="1" applyAlignment="1">
      <alignment horizontal="right" vertical="center" wrapText="1" readingOrder="1"/>
    </xf>
    <xf numFmtId="0" fontId="5" fillId="8" borderId="25" xfId="0" applyFont="1" applyFill="1" applyBorder="1" applyAlignment="1">
      <alignment horizontal="right" vertical="center" wrapText="1" readingOrder="1"/>
    </xf>
    <xf numFmtId="14" fontId="5" fillId="8" borderId="25" xfId="0" applyNumberFormat="1" applyFont="1" applyFill="1" applyBorder="1" applyAlignment="1">
      <alignment horizontal="right" vertical="center" wrapText="1" readingOrder="1"/>
    </xf>
    <xf numFmtId="0" fontId="5" fillId="8" borderId="26" xfId="0" applyFont="1" applyFill="1" applyBorder="1" applyAlignment="1">
      <alignment horizontal="center" vertical="center" wrapText="1" readingOrder="1"/>
    </xf>
    <xf numFmtId="0" fontId="5" fillId="0" borderId="20" xfId="0" applyFont="1" applyBorder="1" applyAlignment="1">
      <alignment horizontal="right" vertical="center" wrapText="1" readingOrder="1"/>
    </xf>
    <xf numFmtId="14" fontId="5" fillId="0" borderId="20" xfId="0" applyNumberFormat="1" applyFont="1" applyBorder="1" applyAlignment="1">
      <alignment horizontal="right" vertical="center" wrapText="1" readingOrder="1"/>
    </xf>
    <xf numFmtId="14" fontId="5" fillId="0" borderId="20" xfId="0" applyNumberFormat="1" applyFont="1" applyFill="1" applyBorder="1" applyAlignment="1">
      <alignment horizontal="right" vertical="center" wrapText="1" readingOrder="1"/>
    </xf>
    <xf numFmtId="0" fontId="5" fillId="0" borderId="0" xfId="0" applyFont="1" applyBorder="1" applyAlignment="1">
      <alignment horizontal="right" vertical="center" wrapText="1" readingOrder="1"/>
    </xf>
    <xf numFmtId="14" fontId="5" fillId="0" borderId="0" xfId="0" applyNumberFormat="1" applyFont="1" applyBorder="1" applyAlignment="1">
      <alignment horizontal="right" vertical="center" wrapText="1" readingOrder="1"/>
    </xf>
    <xf numFmtId="14" fontId="5" fillId="0" borderId="0" xfId="0" applyNumberFormat="1" applyFont="1" applyFill="1" applyBorder="1" applyAlignment="1">
      <alignment horizontal="right" vertical="center" wrapText="1" readingOrder="1"/>
    </xf>
    <xf numFmtId="0" fontId="7" fillId="0" borderId="0" xfId="0" applyFont="1" applyAlignment="1">
      <alignment vertical="center"/>
    </xf>
    <xf numFmtId="0" fontId="5" fillId="6" borderId="0" xfId="0" applyFont="1" applyFill="1" applyBorder="1" applyAlignment="1">
      <alignment horizontal="center" vertical="center" wrapText="1" readingOrder="1"/>
    </xf>
    <xf numFmtId="0" fontId="5" fillId="6" borderId="0" xfId="0" applyFont="1" applyFill="1" applyBorder="1" applyAlignment="1">
      <alignment horizontal="right" vertical="center" wrapText="1" readingOrder="1"/>
    </xf>
    <xf numFmtId="14" fontId="5" fillId="6" borderId="0" xfId="0" applyNumberFormat="1" applyFont="1" applyFill="1" applyBorder="1" applyAlignment="1">
      <alignment horizontal="right" vertical="center" wrapText="1" readingOrder="1"/>
    </xf>
    <xf numFmtId="14" fontId="5" fillId="4" borderId="0" xfId="0" applyNumberFormat="1" applyFont="1" applyFill="1" applyBorder="1" applyAlignment="1">
      <alignment horizontal="right" vertical="center" wrapText="1" readingOrder="1"/>
    </xf>
    <xf numFmtId="0" fontId="5" fillId="6" borderId="23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5" fillId="0" borderId="23" xfId="0" applyFont="1" applyBorder="1" applyAlignment="1">
      <alignment horizontal="center" vertical="center" wrapText="1" readingOrder="1"/>
    </xf>
    <xf numFmtId="0" fontId="5" fillId="6" borderId="25" xfId="0" applyFont="1" applyFill="1" applyBorder="1" applyAlignment="1">
      <alignment horizontal="center" vertical="center" wrapText="1" readingOrder="1"/>
    </xf>
    <xf numFmtId="0" fontId="5" fillId="6" borderId="25" xfId="0" applyFont="1" applyFill="1" applyBorder="1" applyAlignment="1">
      <alignment horizontal="left" vertical="center" wrapText="1" readingOrder="1"/>
    </xf>
    <xf numFmtId="0" fontId="5" fillId="6" borderId="25" xfId="0" applyFont="1" applyFill="1" applyBorder="1" applyAlignment="1">
      <alignment horizontal="right" vertical="center" wrapText="1" readingOrder="1"/>
    </xf>
    <xf numFmtId="14" fontId="5" fillId="6" borderId="25" xfId="0" applyNumberFormat="1" applyFont="1" applyFill="1" applyBorder="1" applyAlignment="1">
      <alignment horizontal="right" vertical="center" wrapText="1" readingOrder="1"/>
    </xf>
    <xf numFmtId="14" fontId="5" fillId="4" borderId="25" xfId="0" applyNumberFormat="1" applyFont="1" applyFill="1" applyBorder="1" applyAlignment="1">
      <alignment horizontal="right" vertical="center" wrapText="1" readingOrder="1"/>
    </xf>
    <xf numFmtId="0" fontId="5" fillId="6" borderId="26" xfId="0" applyFont="1" applyFill="1" applyBorder="1" applyAlignment="1">
      <alignment horizontal="center" vertical="center" wrapText="1" readingOrder="1"/>
    </xf>
    <xf numFmtId="0" fontId="5" fillId="8" borderId="0" xfId="0" applyFont="1" applyFill="1" applyBorder="1" applyAlignment="1">
      <alignment horizontal="center" vertical="center" wrapText="1" readingOrder="1"/>
    </xf>
    <xf numFmtId="0" fontId="5" fillId="6" borderId="0" xfId="0" applyFont="1" applyFill="1" applyBorder="1" applyAlignment="1">
      <alignment horizontal="left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left" vertical="center" wrapText="1" readingOrder="1"/>
    </xf>
    <xf numFmtId="0" fontId="5" fillId="8" borderId="0" xfId="0" applyFont="1" applyFill="1" applyBorder="1" applyAlignment="1">
      <alignment horizontal="left" vertical="center" wrapText="1" readingOrder="1"/>
    </xf>
    <xf numFmtId="0" fontId="5" fillId="8" borderId="23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0" fontId="2" fillId="0" borderId="0" xfId="0" applyFont="1" applyFill="1" applyBorder="1" applyAlignment="1">
      <alignment horizontal="right" vertical="center" wrapText="1" readingOrder="1"/>
    </xf>
    <xf numFmtId="14" fontId="2" fillId="0" borderId="0" xfId="0" applyNumberFormat="1" applyFont="1" applyFill="1" applyBorder="1" applyAlignment="1">
      <alignment horizontal="right" vertical="center" wrapText="1" readingOrder="1"/>
    </xf>
    <xf numFmtId="0" fontId="2" fillId="0" borderId="23" xfId="0" applyFont="1" applyFill="1" applyBorder="1" applyAlignment="1">
      <alignment horizontal="center" vertical="center" wrapText="1" readingOrder="1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 readingOrder="1"/>
    </xf>
    <xf numFmtId="0" fontId="2" fillId="4" borderId="0" xfId="0" applyFont="1" applyFill="1" applyBorder="1" applyAlignment="1">
      <alignment horizontal="right" vertical="center"/>
    </xf>
    <xf numFmtId="14" fontId="2" fillId="4" borderId="0" xfId="0" applyNumberFormat="1" applyFont="1" applyFill="1" applyBorder="1" applyAlignment="1">
      <alignment horizontal="right" vertical="center"/>
    </xf>
    <xf numFmtId="0" fontId="2" fillId="4" borderId="2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 readingOrder="1"/>
    </xf>
    <xf numFmtId="0" fontId="2" fillId="0" borderId="25" xfId="0" applyFont="1" applyFill="1" applyBorder="1" applyAlignment="1">
      <alignment horizontal="right" vertical="center"/>
    </xf>
    <xf numFmtId="14" fontId="2" fillId="0" borderId="25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4" fillId="3" borderId="0" xfId="0" applyFont="1" applyFill="1" applyAlignment="1">
      <alignment horizontal="right" vertical="center" wrapText="1" readingOrder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 readingOrder="1"/>
    </xf>
    <xf numFmtId="0" fontId="5" fillId="0" borderId="0" xfId="0" applyFont="1" applyAlignment="1">
      <alignment horizontal="center" wrapText="1" readingOrder="1"/>
    </xf>
    <xf numFmtId="14" fontId="5" fillId="0" borderId="0" xfId="0" applyNumberFormat="1" applyFont="1" applyFill="1" applyAlignment="1">
      <alignment horizontal="right" vertical="center" wrapText="1" readingOrder="1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 readingOrder="1"/>
    </xf>
    <xf numFmtId="0" fontId="4" fillId="2" borderId="0" xfId="0" applyFont="1" applyFill="1" applyAlignment="1">
      <alignment horizontal="center" wrapText="1" readingOrder="1"/>
    </xf>
    <xf numFmtId="0" fontId="5" fillId="2" borderId="0" xfId="0" applyFont="1" applyFill="1" applyAlignment="1">
      <alignment horizontal="right" wrapText="1" readingOrder="1"/>
    </xf>
    <xf numFmtId="0" fontId="5" fillId="2" borderId="0" xfId="0" applyFont="1" applyFill="1" applyAlignment="1">
      <alignment horizontal="right" vertical="center" wrapText="1" readingOrder="1"/>
    </xf>
    <xf numFmtId="0" fontId="4" fillId="3" borderId="0" xfId="0" applyFont="1" applyFill="1" applyAlignment="1">
      <alignment horizontal="center" vertical="center" wrapText="1" readingOrder="1"/>
    </xf>
    <xf numFmtId="0" fontId="5" fillId="0" borderId="0" xfId="0" applyFont="1" applyFill="1" applyAlignment="1">
      <alignment horizontal="left" vertical="center" wrapText="1" readingOrder="1"/>
    </xf>
    <xf numFmtId="0" fontId="5" fillId="0" borderId="0" xfId="0" applyFont="1" applyFill="1" applyAlignment="1">
      <alignment horizontal="right" vertical="center" wrapText="1" readingOrder="1"/>
    </xf>
    <xf numFmtId="0" fontId="2" fillId="0" borderId="0" xfId="0" applyFont="1" applyFill="1" applyAlignment="1">
      <alignment horizontal="right" vertical="center"/>
    </xf>
    <xf numFmtId="0" fontId="5" fillId="5" borderId="0" xfId="0" applyFont="1" applyFill="1" applyAlignment="1">
      <alignment horizontal="right" vertical="center" wrapText="1" readingOrder="1"/>
    </xf>
    <xf numFmtId="0" fontId="13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 vertical="center" wrapText="1" readingOrder="1"/>
    </xf>
    <xf numFmtId="0" fontId="13" fillId="0" borderId="0" xfId="0" applyFont="1" applyAlignment="1">
      <alignment horizontal="right"/>
    </xf>
    <xf numFmtId="0" fontId="5" fillId="0" borderId="22" xfId="0" applyFont="1" applyBorder="1" applyAlignment="1">
      <alignment horizontal="center" vertical="center" wrapText="1" readingOrder="1"/>
    </xf>
    <xf numFmtId="0" fontId="5" fillId="6" borderId="22" xfId="0" applyFont="1" applyFill="1" applyBorder="1" applyAlignment="1">
      <alignment horizontal="center" vertical="center" wrapText="1" readingOrder="1"/>
    </xf>
    <xf numFmtId="0" fontId="5" fillId="4" borderId="0" xfId="0" applyFont="1" applyFill="1" applyBorder="1" applyAlignment="1">
      <alignment horizontal="right" vertical="center" wrapText="1" readingOrder="1"/>
    </xf>
    <xf numFmtId="0" fontId="1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5" fillId="10" borderId="0" xfId="0" applyFont="1" applyFill="1" applyBorder="1" applyAlignment="1">
      <alignment horizontal="right" vertical="center" wrapText="1" readingOrder="1"/>
    </xf>
    <xf numFmtId="14" fontId="5" fillId="10" borderId="0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right" vertical="center" wrapText="1" readingOrder="1"/>
    </xf>
    <xf numFmtId="0" fontId="2" fillId="0" borderId="0" xfId="0" applyFont="1"/>
    <xf numFmtId="3" fontId="2" fillId="0" borderId="0" xfId="0" applyNumberFormat="1" applyFont="1"/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65" fontId="5" fillId="0" borderId="0" xfId="1" applyNumberFormat="1" applyFont="1" applyAlignment="1">
      <alignment horizontal="right" vertical="center" wrapText="1" readingOrder="1"/>
    </xf>
    <xf numFmtId="0" fontId="4" fillId="12" borderId="0" xfId="0" applyFont="1" applyFill="1" applyAlignment="1">
      <alignment horizontal="left" vertical="center" wrapText="1" readingOrder="1"/>
    </xf>
    <xf numFmtId="3" fontId="4" fillId="12" borderId="0" xfId="0" applyNumberFormat="1" applyFont="1" applyFill="1" applyAlignment="1">
      <alignment horizontal="right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6" fillId="0" borderId="0" xfId="0" applyFont="1" applyAlignment="1">
      <alignment horizontal="right" vertical="center" wrapText="1" readingOrder="1"/>
    </xf>
    <xf numFmtId="0" fontId="6" fillId="5" borderId="0" xfId="0" applyFont="1" applyFill="1" applyAlignment="1">
      <alignment horizontal="center" wrapText="1" readingOrder="1"/>
    </xf>
    <xf numFmtId="3" fontId="5" fillId="5" borderId="0" xfId="0" applyNumberFormat="1" applyFont="1" applyFill="1" applyAlignment="1">
      <alignment horizontal="right" vertical="center" wrapText="1" readingOrder="1"/>
    </xf>
    <xf numFmtId="0" fontId="16" fillId="7" borderId="0" xfId="3" applyFont="1" applyFill="1" applyBorder="1" applyProtection="1">
      <protection locked="0"/>
    </xf>
    <xf numFmtId="3" fontId="16" fillId="7" borderId="0" xfId="3" applyNumberFormat="1" applyFont="1" applyFill="1" applyBorder="1" applyProtection="1">
      <protection locked="0"/>
    </xf>
    <xf numFmtId="0" fontId="17" fillId="0" borderId="0" xfId="0" applyFont="1"/>
    <xf numFmtId="43" fontId="5" fillId="0" borderId="0" xfId="0" applyNumberFormat="1" applyFont="1" applyAlignment="1">
      <alignment horizontal="right" vertical="center" wrapText="1" readingOrder="1"/>
    </xf>
    <xf numFmtId="43" fontId="5" fillId="0" borderId="0" xfId="1" applyNumberFormat="1" applyFont="1" applyAlignment="1">
      <alignment horizontal="right" vertical="center" wrapText="1" readingOrder="1"/>
    </xf>
    <xf numFmtId="166" fontId="19" fillId="13" borderId="0" xfId="2" applyNumberFormat="1" applyFont="1" applyFill="1"/>
    <xf numFmtId="43" fontId="6" fillId="5" borderId="0" xfId="0" applyNumberFormat="1" applyFont="1" applyFill="1" applyAlignment="1">
      <alignment horizontal="right" vertical="center" wrapText="1" readingOrder="1"/>
    </xf>
    <xf numFmtId="43" fontId="6" fillId="5" borderId="0" xfId="1" applyNumberFormat="1" applyFont="1" applyFill="1" applyAlignment="1">
      <alignment horizontal="right" vertical="center" wrapText="1" readingOrder="1"/>
    </xf>
    <xf numFmtId="0" fontId="6" fillId="0" borderId="0" xfId="0" applyFont="1" applyAlignment="1">
      <alignment horizontal="left" wrapText="1" readingOrder="1"/>
    </xf>
    <xf numFmtId="43" fontId="2" fillId="0" borderId="0" xfId="0" applyNumberFormat="1" applyFont="1"/>
    <xf numFmtId="43" fontId="4" fillId="12" borderId="0" xfId="0" applyNumberFormat="1" applyFont="1" applyFill="1" applyAlignment="1">
      <alignment horizontal="right" vertical="center" wrapText="1" readingOrder="1"/>
    </xf>
    <xf numFmtId="43" fontId="4" fillId="12" borderId="0" xfId="1" applyNumberFormat="1" applyFont="1" applyFill="1" applyAlignment="1">
      <alignment horizontal="right" vertical="center" wrapText="1" readingOrder="1"/>
    </xf>
    <xf numFmtId="0" fontId="4" fillId="12" borderId="0" xfId="0" applyFont="1" applyFill="1" applyAlignment="1">
      <alignment horizontal="right" vertical="center" wrapText="1" readingOrder="1"/>
    </xf>
    <xf numFmtId="167" fontId="4" fillId="12" borderId="0" xfId="1" applyNumberFormat="1" applyFont="1" applyFill="1" applyAlignment="1">
      <alignment horizontal="right" vertical="center" wrapText="1" readingOrder="1"/>
    </xf>
    <xf numFmtId="43" fontId="17" fillId="0" borderId="0" xfId="1" applyNumberFormat="1" applyFont="1"/>
    <xf numFmtId="0" fontId="4" fillId="11" borderId="0" xfId="0" applyFont="1" applyFill="1" applyAlignment="1">
      <alignment horizontal="center" wrapText="1" readingOrder="1"/>
    </xf>
    <xf numFmtId="166" fontId="20" fillId="13" borderId="0" xfId="2" applyNumberFormat="1" applyFont="1" applyFill="1"/>
    <xf numFmtId="2" fontId="5" fillId="0" borderId="0" xfId="0" applyNumberFormat="1" applyFont="1" applyAlignment="1">
      <alignment horizontal="right" vertical="center" wrapText="1" readingOrder="1"/>
    </xf>
    <xf numFmtId="2" fontId="5" fillId="0" borderId="0" xfId="1" applyNumberFormat="1" applyFont="1" applyAlignment="1">
      <alignment horizontal="right" vertical="center" wrapText="1" readingOrder="1"/>
    </xf>
    <xf numFmtId="0" fontId="5" fillId="5" borderId="0" xfId="0" applyFont="1" applyFill="1" applyAlignment="1">
      <alignment horizontal="center" wrapText="1" readingOrder="1"/>
    </xf>
    <xf numFmtId="2" fontId="6" fillId="5" borderId="0" xfId="0" applyNumberFormat="1" applyFont="1" applyFill="1" applyAlignment="1">
      <alignment horizontal="right" vertical="center" wrapText="1" readingOrder="1"/>
    </xf>
    <xf numFmtId="2" fontId="6" fillId="5" borderId="0" xfId="1" applyNumberFormat="1" applyFont="1" applyFill="1" applyAlignment="1">
      <alignment horizontal="right" vertical="center" wrapText="1" readingOrder="1"/>
    </xf>
    <xf numFmtId="2" fontId="4" fillId="12" borderId="0" xfId="0" applyNumberFormat="1" applyFont="1" applyFill="1" applyAlignment="1">
      <alignment horizontal="right" vertical="center" wrapText="1" readingOrder="1"/>
    </xf>
    <xf numFmtId="2" fontId="4" fillId="12" borderId="0" xfId="1" applyNumberFormat="1" applyFont="1" applyFill="1" applyAlignment="1">
      <alignment horizontal="right" vertical="center" wrapText="1" readingOrder="1"/>
    </xf>
    <xf numFmtId="0" fontId="14" fillId="14" borderId="0" xfId="0" applyFont="1" applyFill="1" applyAlignment="1">
      <alignment horizontal="center" vertical="center" wrapText="1"/>
    </xf>
    <xf numFmtId="43" fontId="14" fillId="14" borderId="0" xfId="1" applyNumberFormat="1" applyFont="1" applyFill="1" applyAlignment="1">
      <alignment horizontal="center" vertical="center" wrapText="1"/>
    </xf>
    <xf numFmtId="43" fontId="17" fillId="0" borderId="0" xfId="0" applyNumberFormat="1" applyFont="1"/>
    <xf numFmtId="4" fontId="4" fillId="3" borderId="0" xfId="0" applyNumberFormat="1" applyFont="1" applyFill="1" applyAlignment="1">
      <alignment horizontal="right" vertical="center" wrapText="1" readingOrder="1"/>
    </xf>
    <xf numFmtId="43" fontId="4" fillId="3" borderId="0" xfId="1" applyNumberFormat="1" applyFont="1" applyFill="1" applyAlignment="1">
      <alignment horizontal="right" vertical="center" wrapText="1" readingOrder="1"/>
    </xf>
    <xf numFmtId="4" fontId="17" fillId="0" borderId="0" xfId="0" applyNumberFormat="1" applyFont="1"/>
    <xf numFmtId="0" fontId="16" fillId="7" borderId="0" xfId="3" applyFont="1" applyFill="1"/>
    <xf numFmtId="0" fontId="16" fillId="15" borderId="0" xfId="3" applyFont="1" applyFill="1"/>
    <xf numFmtId="0" fontId="21" fillId="7" borderId="0" xfId="3" applyFont="1" applyFill="1"/>
    <xf numFmtId="168" fontId="21" fillId="7" borderId="0" xfId="3" applyNumberFormat="1" applyFont="1" applyFill="1"/>
    <xf numFmtId="168" fontId="21" fillId="15" borderId="0" xfId="3" applyNumberFormat="1" applyFont="1" applyFill="1"/>
    <xf numFmtId="168" fontId="16" fillId="7" borderId="0" xfId="3" applyNumberFormat="1" applyFont="1" applyFill="1"/>
    <xf numFmtId="168" fontId="16" fillId="15" borderId="0" xfId="3" applyNumberFormat="1" applyFont="1" applyFill="1"/>
    <xf numFmtId="0" fontId="15" fillId="0" borderId="0" xfId="3"/>
    <xf numFmtId="17" fontId="15" fillId="0" borderId="0" xfId="3" applyNumberFormat="1"/>
    <xf numFmtId="169" fontId="15" fillId="0" borderId="0" xfId="3" applyNumberFormat="1"/>
    <xf numFmtId="0" fontId="17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right" vertical="center" wrapText="1" readingOrder="1"/>
    </xf>
    <xf numFmtId="0" fontId="17" fillId="0" borderId="0" xfId="0" applyFont="1" applyAlignment="1">
      <alignment horizontal="right" vertical="center"/>
    </xf>
    <xf numFmtId="0" fontId="6" fillId="5" borderId="0" xfId="0" applyFont="1" applyFill="1" applyAlignment="1">
      <alignment horizontal="center" vertical="center" wrapText="1" readingOrder="1"/>
    </xf>
    <xf numFmtId="4" fontId="6" fillId="5" borderId="0" xfId="0" applyNumberFormat="1" applyFont="1" applyFill="1" applyAlignment="1">
      <alignment horizontal="right" vertical="center" wrapText="1" readingOrder="1"/>
    </xf>
    <xf numFmtId="0" fontId="4" fillId="16" borderId="0" xfId="0" applyFont="1" applyFill="1" applyAlignment="1">
      <alignment horizontal="left" vertical="center" wrapText="1" readingOrder="1"/>
    </xf>
    <xf numFmtId="0" fontId="4" fillId="16" borderId="0" xfId="0" applyFont="1" applyFill="1" applyAlignment="1">
      <alignment horizontal="center" vertical="center" wrapText="1" readingOrder="1"/>
    </xf>
    <xf numFmtId="4" fontId="4" fillId="16" borderId="0" xfId="0" applyNumberFormat="1" applyFont="1" applyFill="1" applyAlignment="1">
      <alignment horizontal="right" vertical="center" wrapText="1" readingOrder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" fontId="15" fillId="0" borderId="0" xfId="3" applyNumberFormat="1" applyFont="1"/>
    <xf numFmtId="1" fontId="22" fillId="0" borderId="0" xfId="3" applyNumberFormat="1" applyFont="1"/>
    <xf numFmtId="0" fontId="15" fillId="0" borderId="0" xfId="3" applyFont="1"/>
    <xf numFmtId="170" fontId="15" fillId="0" borderId="0" xfId="1" applyNumberFormat="1" applyFont="1"/>
    <xf numFmtId="170" fontId="22" fillId="0" borderId="0" xfId="1" applyNumberFormat="1" applyFont="1"/>
    <xf numFmtId="0" fontId="14" fillId="0" borderId="0" xfId="0" applyFont="1" applyAlignment="1">
      <alignment horizontal="left" vertical="center" wrapText="1" readingOrder="1"/>
    </xf>
    <xf numFmtId="0" fontId="14" fillId="0" borderId="0" xfId="0" applyFont="1" applyAlignment="1">
      <alignment horizontal="center" vertical="center" wrapText="1" readingOrder="1"/>
    </xf>
    <xf numFmtId="43" fontId="14" fillId="0" borderId="0" xfId="1" applyFont="1" applyAlignment="1">
      <alignment horizontal="right" vertical="center" wrapText="1" readingOrder="1"/>
    </xf>
    <xf numFmtId="0" fontId="14" fillId="4" borderId="0" xfId="0" applyFont="1" applyFill="1" applyAlignment="1">
      <alignment horizontal="left" vertical="center" wrapText="1" readingOrder="1"/>
    </xf>
    <xf numFmtId="0" fontId="14" fillId="6" borderId="0" xfId="0" applyFont="1" applyFill="1" applyAlignment="1">
      <alignment horizontal="center" vertical="center" wrapText="1" readingOrder="1"/>
    </xf>
    <xf numFmtId="43" fontId="14" fillId="6" borderId="0" xfId="1" applyFont="1" applyFill="1" applyAlignment="1">
      <alignment horizontal="right" vertical="center" wrapText="1" readingOrder="1"/>
    </xf>
    <xf numFmtId="0" fontId="14" fillId="0" borderId="0" xfId="0" applyFont="1" applyFill="1" applyAlignment="1">
      <alignment horizontal="left" vertical="center" wrapText="1" readingOrder="1"/>
    </xf>
    <xf numFmtId="0" fontId="14" fillId="0" borderId="0" xfId="0" applyFont="1" applyFill="1" applyAlignment="1">
      <alignment horizontal="center" vertical="center" wrapText="1" readingOrder="1"/>
    </xf>
    <xf numFmtId="43" fontId="14" fillId="0" borderId="0" xfId="1" applyFont="1" applyFill="1" applyAlignment="1">
      <alignment horizontal="right" vertical="center" wrapText="1" readingOrder="1"/>
    </xf>
    <xf numFmtId="0" fontId="14" fillId="4" borderId="0" xfId="0" applyFont="1" applyFill="1" applyAlignment="1">
      <alignment horizontal="center" vertical="center" wrapText="1" readingOrder="1"/>
    </xf>
    <xf numFmtId="43" fontId="14" fillId="4" borderId="0" xfId="1" applyFont="1" applyFill="1" applyAlignment="1">
      <alignment horizontal="right" vertical="center" wrapText="1" readingOrder="1"/>
    </xf>
    <xf numFmtId="0" fontId="14" fillId="0" borderId="0" xfId="0" applyFont="1" applyFill="1" applyAlignment="1">
      <alignment vertical="center" wrapText="1" readingOrder="1"/>
    </xf>
    <xf numFmtId="0" fontId="14" fillId="4" borderId="0" xfId="0" applyFont="1" applyFill="1" applyAlignment="1">
      <alignment vertical="center" wrapText="1" readingOrder="1"/>
    </xf>
    <xf numFmtId="43" fontId="23" fillId="3" borderId="0" xfId="0" applyNumberFormat="1" applyFont="1" applyFill="1" applyAlignment="1">
      <alignment horizontal="right" vertical="center" wrapText="1" readingOrder="1"/>
    </xf>
    <xf numFmtId="0" fontId="8" fillId="0" borderId="0" xfId="0" applyFont="1" applyAlignment="1">
      <alignment horizontal="right" vertical="center"/>
    </xf>
    <xf numFmtId="0" fontId="24" fillId="3" borderId="0" xfId="0" applyFont="1" applyFill="1" applyAlignment="1">
      <alignment horizontal="center" vertical="center" wrapText="1" readingOrder="1"/>
    </xf>
    <xf numFmtId="43" fontId="5" fillId="0" borderId="0" xfId="1" applyFont="1" applyAlignment="1">
      <alignment horizontal="right" vertical="center" wrapText="1" readingOrder="1"/>
    </xf>
    <xf numFmtId="0" fontId="25" fillId="3" borderId="0" xfId="0" applyFont="1" applyFill="1" applyAlignment="1">
      <alignment horizontal="right" vertical="center" wrapText="1" readingOrder="1"/>
    </xf>
    <xf numFmtId="4" fontId="25" fillId="3" borderId="0" xfId="0" applyNumberFormat="1" applyFont="1" applyFill="1" applyAlignment="1">
      <alignment horizontal="right" vertical="center" wrapText="1" readingOrder="1"/>
    </xf>
    <xf numFmtId="0" fontId="4" fillId="3" borderId="0" xfId="0" applyFont="1" applyFill="1" applyAlignment="1">
      <alignment horizontal="center" wrapText="1" readingOrder="1"/>
    </xf>
    <xf numFmtId="1" fontId="5" fillId="0" borderId="0" xfId="0" applyNumberFormat="1" applyFont="1" applyAlignment="1">
      <alignment horizontal="center" vertical="center" wrapText="1" readingOrder="1"/>
    </xf>
    <xf numFmtId="1" fontId="5" fillId="0" borderId="0" xfId="0" applyNumberFormat="1" applyFont="1" applyAlignment="1">
      <alignment horizontal="center" wrapText="1" readingOrder="1"/>
    </xf>
    <xf numFmtId="0" fontId="14" fillId="0" borderId="0" xfId="0" applyFont="1" applyAlignment="1">
      <alignment horizontal="left" wrapText="1" readingOrder="1"/>
    </xf>
    <xf numFmtId="0" fontId="26" fillId="0" borderId="0" xfId="0" applyFont="1" applyAlignment="1">
      <alignment horizontal="right"/>
    </xf>
    <xf numFmtId="43" fontId="27" fillId="5" borderId="0" xfId="1" applyFont="1" applyFill="1" applyAlignment="1">
      <alignment horizontal="right" vertical="center" wrapText="1" readingOrder="1"/>
    </xf>
    <xf numFmtId="43" fontId="14" fillId="0" borderId="0" xfId="1" applyFont="1" applyAlignment="1">
      <alignment horizontal="right" vertical="center" wrapText="1"/>
    </xf>
    <xf numFmtId="43" fontId="6" fillId="5" borderId="0" xfId="1" applyFont="1" applyFill="1" applyAlignment="1">
      <alignment horizontal="right" vertical="center" wrapText="1" readingOrder="1"/>
    </xf>
    <xf numFmtId="0" fontId="17" fillId="0" borderId="0" xfId="0" applyFont="1" applyAlignment="1">
      <alignment horizontal="right"/>
    </xf>
    <xf numFmtId="43" fontId="4" fillId="3" borderId="0" xfId="1" applyFont="1" applyFill="1" applyAlignment="1">
      <alignment horizontal="right" vertical="center" wrapText="1" readingOrder="1"/>
    </xf>
    <xf numFmtId="0" fontId="14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wrapText="1" readingOrder="1"/>
    </xf>
    <xf numFmtId="0" fontId="14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4" fillId="3" borderId="0" xfId="0" applyFont="1" applyFill="1" applyAlignment="1">
      <alignment horizontal="right" wrapText="1" readingOrder="1"/>
    </xf>
    <xf numFmtId="0" fontId="14" fillId="0" borderId="0" xfId="0" applyFont="1" applyAlignment="1">
      <alignment horizontal="center" wrapText="1" readingOrder="1"/>
    </xf>
    <xf numFmtId="43" fontId="23" fillId="3" borderId="0" xfId="1" applyFont="1" applyFill="1" applyAlignment="1">
      <alignment horizontal="right" vertical="center" wrapText="1" readingOrder="1"/>
    </xf>
    <xf numFmtId="0" fontId="20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4" fillId="9" borderId="0" xfId="0" applyFont="1" applyFill="1" applyAlignment="1">
      <alignment horizontal="center" vertical="center" wrapText="1" readingOrder="1"/>
    </xf>
    <xf numFmtId="166" fontId="2" fillId="0" borderId="0" xfId="2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6" borderId="0" xfId="0" applyFont="1" applyFill="1" applyAlignment="1">
      <alignment horizontal="center" wrapText="1" readingOrder="1"/>
    </xf>
    <xf numFmtId="0" fontId="6" fillId="6" borderId="0" xfId="0" applyFont="1" applyFill="1" applyAlignment="1">
      <alignment horizontal="left" vertical="center" wrapText="1" readingOrder="1"/>
    </xf>
    <xf numFmtId="0" fontId="6" fillId="6" borderId="0" xfId="0" applyFont="1" applyFill="1" applyAlignment="1">
      <alignment horizontal="right" vertical="center" wrapText="1" readingOrder="1"/>
    </xf>
    <xf numFmtId="4" fontId="6" fillId="6" borderId="0" xfId="0" applyNumberFormat="1" applyFont="1" applyFill="1" applyAlignment="1">
      <alignment horizontal="right" vertical="center" wrapText="1" readingOrder="1"/>
    </xf>
    <xf numFmtId="0" fontId="6" fillId="18" borderId="0" xfId="0" applyFont="1" applyFill="1" applyAlignment="1">
      <alignment horizontal="left" vertical="center" wrapText="1" readingOrder="1"/>
    </xf>
    <xf numFmtId="0" fontId="6" fillId="18" borderId="0" xfId="0" applyFont="1" applyFill="1" applyAlignment="1">
      <alignment horizontal="right" vertical="center" wrapText="1" readingOrder="1"/>
    </xf>
    <xf numFmtId="4" fontId="6" fillId="18" borderId="0" xfId="0" applyNumberFormat="1" applyFont="1" applyFill="1" applyAlignment="1">
      <alignment horizontal="right" vertical="center" wrapText="1" readingOrder="1"/>
    </xf>
    <xf numFmtId="4" fontId="23" fillId="3" borderId="0" xfId="0" applyNumberFormat="1" applyFont="1" applyFill="1" applyAlignment="1">
      <alignment horizontal="right" vertical="center" wrapText="1" readingOrder="1"/>
    </xf>
    <xf numFmtId="0" fontId="7" fillId="0" borderId="0" xfId="0" applyFont="1" applyAlignment="1"/>
    <xf numFmtId="0" fontId="14" fillId="4" borderId="0" xfId="4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14" fontId="2" fillId="4" borderId="2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72" fontId="14" fillId="4" borderId="0" xfId="4" applyNumberFormat="1" applyFont="1" applyFill="1" applyBorder="1" applyAlignment="1">
      <alignment horizontal="right" vertical="center"/>
    </xf>
    <xf numFmtId="0" fontId="7" fillId="0" borderId="25" xfId="0" applyFont="1" applyBorder="1" applyAlignment="1">
      <alignment horizontal="center"/>
    </xf>
    <xf numFmtId="9" fontId="2" fillId="0" borderId="0" xfId="2" applyFont="1" applyAlignment="1">
      <alignment horizontal="center" vertical="center"/>
    </xf>
    <xf numFmtId="0" fontId="4" fillId="9" borderId="0" xfId="0" applyFont="1" applyFill="1" applyAlignment="1">
      <alignment horizontal="center" wrapText="1" readingOrder="1"/>
    </xf>
    <xf numFmtId="0" fontId="14" fillId="0" borderId="0" xfId="0" applyFont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7" fillId="0" borderId="0" xfId="0" applyFont="1" applyBorder="1" applyAlignment="1"/>
    <xf numFmtId="168" fontId="17" fillId="0" borderId="0" xfId="0" applyNumberFormat="1" applyFont="1"/>
    <xf numFmtId="3" fontId="15" fillId="0" borderId="0" xfId="3" applyNumberFormat="1"/>
    <xf numFmtId="166" fontId="18" fillId="13" borderId="0" xfId="2" applyNumberFormat="1" applyFont="1" applyFill="1" applyAlignment="1">
      <alignment horizontal="right" vertical="center"/>
    </xf>
    <xf numFmtId="43" fontId="2" fillId="0" borderId="0" xfId="1" applyFont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165" fontId="2" fillId="0" borderId="0" xfId="1" applyNumberFormat="1" applyFont="1" applyFill="1" applyAlignment="1">
      <alignment horizontal="right" vertical="center"/>
    </xf>
    <xf numFmtId="1" fontId="5" fillId="0" borderId="0" xfId="0" applyNumberFormat="1" applyFont="1" applyAlignment="1">
      <alignment horizontal="right" vertical="center" wrapText="1" readingOrder="1"/>
    </xf>
    <xf numFmtId="1" fontId="5" fillId="0" borderId="0" xfId="1" applyNumberFormat="1" applyFont="1" applyAlignment="1">
      <alignment horizontal="right" vertical="center" wrapText="1" readingOrder="1"/>
    </xf>
    <xf numFmtId="0" fontId="17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166" fontId="17" fillId="0" borderId="0" xfId="2" applyNumberFormat="1" applyFont="1" applyAlignment="1">
      <alignment horizontal="right" vertical="center"/>
    </xf>
    <xf numFmtId="1" fontId="4" fillId="3" borderId="0" xfId="0" applyNumberFormat="1" applyFont="1" applyFill="1" applyAlignment="1">
      <alignment horizontal="center" wrapText="1" readingOrder="1"/>
    </xf>
    <xf numFmtId="165" fontId="17" fillId="0" borderId="0" xfId="1" applyNumberFormat="1" applyFont="1" applyAlignment="1">
      <alignment horizontal="right"/>
    </xf>
    <xf numFmtId="43" fontId="8" fillId="0" borderId="0" xfId="1" applyFont="1" applyAlignment="1">
      <alignment horizontal="right" vertical="center"/>
    </xf>
    <xf numFmtId="43" fontId="5" fillId="0" borderId="0" xfId="1" applyFont="1" applyFill="1" applyAlignment="1">
      <alignment horizontal="right" vertical="center" wrapText="1" readingOrder="1"/>
    </xf>
    <xf numFmtId="0" fontId="6" fillId="21" borderId="0" xfId="0" applyFont="1" applyFill="1" applyAlignment="1">
      <alignment horizontal="center" wrapText="1" readingOrder="1"/>
    </xf>
    <xf numFmtId="0" fontId="6" fillId="21" borderId="0" xfId="0" applyFont="1" applyFill="1" applyAlignment="1">
      <alignment horizontal="left" vertical="center" wrapText="1" readingOrder="1"/>
    </xf>
    <xf numFmtId="0" fontId="6" fillId="21" borderId="0" xfId="0" applyFont="1" applyFill="1" applyAlignment="1">
      <alignment horizontal="right" vertical="center" wrapText="1" readingOrder="1"/>
    </xf>
    <xf numFmtId="4" fontId="6" fillId="21" borderId="0" xfId="0" applyNumberFormat="1" applyFont="1" applyFill="1" applyAlignment="1">
      <alignment horizontal="right" vertical="center" wrapText="1" readingOrder="1"/>
    </xf>
    <xf numFmtId="49" fontId="5" fillId="0" borderId="0" xfId="0" applyNumberFormat="1" applyFont="1" applyFill="1" applyAlignment="1">
      <alignment horizontal="right" vertical="center" wrapText="1" readingOrder="1"/>
    </xf>
    <xf numFmtId="4" fontId="5" fillId="0" borderId="0" xfId="0" applyNumberFormat="1" applyFont="1" applyFill="1" applyAlignment="1">
      <alignment horizontal="right" vertical="center" wrapText="1" readingOrder="1"/>
    </xf>
    <xf numFmtId="0" fontId="4" fillId="22" borderId="0" xfId="0" applyFont="1" applyFill="1" applyAlignment="1">
      <alignment horizontal="center" vertical="center" wrapText="1"/>
    </xf>
    <xf numFmtId="43" fontId="5" fillId="0" borderId="0" xfId="1" applyFont="1" applyAlignment="1">
      <alignment horizontal="right" vertical="center" wrapText="1"/>
    </xf>
    <xf numFmtId="43" fontId="5" fillId="5" borderId="0" xfId="1" applyFont="1" applyFill="1" applyAlignment="1">
      <alignment horizontal="right" vertical="center" wrapText="1"/>
    </xf>
    <xf numFmtId="43" fontId="4" fillId="22" borderId="0" xfId="1" applyFont="1" applyFill="1" applyAlignment="1">
      <alignment horizontal="right" vertical="center" wrapText="1"/>
    </xf>
    <xf numFmtId="43" fontId="6" fillId="3" borderId="0" xfId="1" applyFont="1" applyFill="1" applyAlignment="1">
      <alignment horizontal="right" vertical="center" wrapText="1"/>
    </xf>
    <xf numFmtId="43" fontId="30" fillId="0" borderId="0" xfId="1" applyFont="1"/>
    <xf numFmtId="0" fontId="6" fillId="5" borderId="0" xfId="0" applyFont="1" applyFill="1" applyAlignment="1">
      <alignment vertical="center" wrapText="1"/>
    </xf>
    <xf numFmtId="43" fontId="6" fillId="23" borderId="0" xfId="1" applyFont="1" applyFill="1" applyAlignment="1">
      <alignment horizontal="right" vertical="center" wrapText="1"/>
    </xf>
    <xf numFmtId="0" fontId="31" fillId="0" borderId="0" xfId="0" applyFont="1" applyAlignment="1">
      <alignment vertical="center" wrapText="1"/>
    </xf>
    <xf numFmtId="43" fontId="32" fillId="0" borderId="0" xfId="1" applyFont="1" applyAlignment="1">
      <alignment horizontal="right" vertical="center" wrapText="1"/>
    </xf>
    <xf numFmtId="43" fontId="23" fillId="3" borderId="0" xfId="1" applyFont="1" applyFill="1" applyAlignment="1">
      <alignment horizontal="right" vertical="center" wrapText="1"/>
    </xf>
    <xf numFmtId="0" fontId="30" fillId="0" borderId="0" xfId="0" applyFont="1"/>
    <xf numFmtId="0" fontId="4" fillId="9" borderId="0" xfId="0" applyFont="1" applyFill="1" applyAlignment="1">
      <alignment horizontal="center" vertical="center" wrapText="1"/>
    </xf>
    <xf numFmtId="164" fontId="33" fillId="24" borderId="12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right" vertical="center" wrapText="1"/>
    </xf>
    <xf numFmtId="0" fontId="15" fillId="0" borderId="12" xfId="0" applyFon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2" xfId="1" applyNumberFormat="1" applyFont="1" applyBorder="1"/>
    <xf numFmtId="164" fontId="0" fillId="0" borderId="12" xfId="2" applyNumberFormat="1" applyFont="1" applyBorder="1"/>
    <xf numFmtId="0" fontId="14" fillId="0" borderId="0" xfId="0" applyFont="1" applyAlignment="1">
      <alignment wrapText="1"/>
    </xf>
    <xf numFmtId="43" fontId="14" fillId="0" borderId="0" xfId="1" applyFont="1" applyAlignment="1">
      <alignment horizontal="right" wrapText="1"/>
    </xf>
    <xf numFmtId="0" fontId="0" fillId="0" borderId="12" xfId="0" applyFont="1" applyFill="1" applyBorder="1" applyAlignment="1">
      <alignment horizontal="center"/>
    </xf>
    <xf numFmtId="43" fontId="17" fillId="0" borderId="0" xfId="1" applyFont="1" applyAlignment="1">
      <alignment horizontal="right" vertical="center" wrapText="1"/>
    </xf>
    <xf numFmtId="0" fontId="22" fillId="0" borderId="12" xfId="0" applyFont="1" applyFill="1" applyBorder="1" applyAlignment="1">
      <alignment horizontal="center"/>
    </xf>
    <xf numFmtId="164" fontId="22" fillId="0" borderId="12" xfId="0" applyNumberFormat="1" applyFont="1" applyBorder="1" applyAlignment="1">
      <alignment horizontal="center"/>
    </xf>
    <xf numFmtId="164" fontId="22" fillId="0" borderId="12" xfId="1" applyNumberFormat="1" applyFont="1" applyBorder="1"/>
    <xf numFmtId="164" fontId="22" fillId="0" borderId="12" xfId="2" applyNumberFormat="1" applyFont="1" applyBorder="1" applyAlignment="1">
      <alignment horizontal="right"/>
    </xf>
    <xf numFmtId="0" fontId="6" fillId="5" borderId="0" xfId="0" applyFont="1" applyFill="1" applyAlignment="1">
      <alignment horizontal="left" wrapText="1"/>
    </xf>
    <xf numFmtId="43" fontId="5" fillId="5" borderId="0" xfId="1" applyFont="1" applyFill="1" applyAlignment="1">
      <alignment horizontal="right" wrapText="1"/>
    </xf>
    <xf numFmtId="0" fontId="4" fillId="3" borderId="0" xfId="0" applyFont="1" applyFill="1" applyAlignment="1">
      <alignment horizontal="center" wrapText="1"/>
    </xf>
    <xf numFmtId="43" fontId="17" fillId="3" borderId="0" xfId="1" applyFont="1" applyFill="1" applyAlignment="1">
      <alignment horizontal="right" vertical="center" wrapText="1"/>
    </xf>
    <xf numFmtId="0" fontId="14" fillId="0" borderId="0" xfId="0" applyFont="1" applyAlignment="1">
      <alignment horizontal="left" wrapText="1"/>
    </xf>
    <xf numFmtId="0" fontId="6" fillId="23" borderId="0" xfId="0" applyFont="1" applyFill="1" applyAlignment="1">
      <alignment horizontal="left" wrapText="1"/>
    </xf>
    <xf numFmtId="43" fontId="6" fillId="23" borderId="0" xfId="1" applyFont="1" applyFill="1" applyAlignment="1">
      <alignment horizontal="right" wrapText="1"/>
    </xf>
    <xf numFmtId="43" fontId="4" fillId="3" borderId="0" xfId="1" applyFont="1" applyFill="1" applyAlignment="1">
      <alignment horizontal="right" wrapText="1"/>
    </xf>
    <xf numFmtId="0" fontId="23" fillId="3" borderId="0" xfId="0" applyFont="1" applyFill="1" applyAlignment="1">
      <alignment horizontal="center" wrapText="1"/>
    </xf>
    <xf numFmtId="0" fontId="23" fillId="3" borderId="0" xfId="0" applyFont="1" applyFill="1" applyAlignment="1">
      <alignment horizontal="left" wrapText="1"/>
    </xf>
    <xf numFmtId="43" fontId="5" fillId="6" borderId="0" xfId="1" applyFont="1" applyFill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5" fillId="25" borderId="0" xfId="0" applyFont="1" applyFill="1" applyAlignment="1">
      <alignment horizontal="left" vertical="center" wrapText="1"/>
    </xf>
    <xf numFmtId="43" fontId="5" fillId="25" borderId="0" xfId="1" applyFont="1" applyFill="1" applyAlignment="1">
      <alignment horizontal="right" vertical="center" wrapText="1"/>
    </xf>
    <xf numFmtId="43" fontId="4" fillId="3" borderId="0" xfId="1" applyFont="1" applyFill="1" applyAlignment="1">
      <alignment horizontal="right" vertical="center" wrapText="1"/>
    </xf>
    <xf numFmtId="43" fontId="0" fillId="0" borderId="0" xfId="0" applyNumberFormat="1"/>
    <xf numFmtId="0" fontId="6" fillId="6" borderId="0" xfId="0" applyFont="1" applyFill="1" applyAlignment="1">
      <alignment vertical="center" wrapText="1"/>
    </xf>
    <xf numFmtId="43" fontId="6" fillId="6" borderId="0" xfId="1" applyFont="1" applyFill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43" fontId="6" fillId="6" borderId="0" xfId="1" applyFont="1" applyFill="1" applyAlignment="1">
      <alignment horizontal="right" vertical="center" wrapText="1"/>
    </xf>
    <xf numFmtId="43" fontId="4" fillId="3" borderId="0" xfId="1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43" fontId="14" fillId="0" borderId="0" xfId="1" applyFont="1" applyAlignment="1">
      <alignment horizontal="center" vertical="center" wrapText="1"/>
    </xf>
    <xf numFmtId="43" fontId="27" fillId="0" borderId="0" xfId="1" applyFont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43" fontId="17" fillId="3" borderId="0" xfId="1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173" fontId="5" fillId="0" borderId="0" xfId="1" applyNumberFormat="1" applyFont="1" applyAlignment="1">
      <alignment horizontal="center" vertical="center" wrapText="1"/>
    </xf>
    <xf numFmtId="43" fontId="17" fillId="0" borderId="0" xfId="1" applyFont="1" applyAlignment="1">
      <alignment vertical="center" wrapText="1"/>
    </xf>
    <xf numFmtId="43" fontId="4" fillId="3" borderId="0" xfId="1" applyFont="1" applyFill="1" applyAlignment="1">
      <alignment vertical="center" wrapText="1"/>
    </xf>
    <xf numFmtId="43" fontId="5" fillId="0" borderId="0" xfId="1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43" fontId="6" fillId="5" borderId="0" xfId="1" applyFont="1" applyFill="1" applyAlignment="1">
      <alignment horizontal="center" vertical="center" wrapText="1"/>
    </xf>
    <xf numFmtId="0" fontId="5" fillId="25" borderId="0" xfId="0" applyFont="1" applyFill="1" applyAlignment="1">
      <alignment vertical="center" wrapText="1"/>
    </xf>
    <xf numFmtId="43" fontId="5" fillId="25" borderId="0" xfId="1" applyFont="1" applyFill="1" applyAlignment="1">
      <alignment horizontal="center" vertical="center" wrapText="1"/>
    </xf>
    <xf numFmtId="0" fontId="19" fillId="0" borderId="0" xfId="0" applyFont="1"/>
    <xf numFmtId="0" fontId="5" fillId="0" borderId="0" xfId="0" applyFont="1" applyAlignment="1">
      <alignment horizontal="center" vertical="center" wrapText="1"/>
    </xf>
    <xf numFmtId="0" fontId="5" fillId="25" borderId="0" xfId="0" applyFont="1" applyFill="1" applyAlignment="1">
      <alignment horizontal="center" vertical="center" wrapText="1"/>
    </xf>
    <xf numFmtId="0" fontId="29" fillId="0" borderId="0" xfId="0" applyFont="1"/>
    <xf numFmtId="0" fontId="4" fillId="9" borderId="0" xfId="0" applyFont="1" applyFill="1" applyAlignment="1">
      <alignment vertical="center" wrapText="1"/>
    </xf>
    <xf numFmtId="43" fontId="14" fillId="0" borderId="0" xfId="1" applyFont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43" fontId="5" fillId="6" borderId="0" xfId="1" applyFont="1" applyFill="1" applyAlignment="1">
      <alignment horizontal="center" wrapText="1"/>
    </xf>
    <xf numFmtId="43" fontId="14" fillId="4" borderId="0" xfId="1" applyFont="1" applyFill="1" applyAlignment="1">
      <alignment horizontal="right" vertical="center" wrapText="1"/>
    </xf>
    <xf numFmtId="0" fontId="4" fillId="9" borderId="0" xfId="0" applyFont="1" applyFill="1" applyAlignment="1">
      <alignment horizontal="right" vertical="center" wrapText="1"/>
    </xf>
    <xf numFmtId="4" fontId="5" fillId="7" borderId="0" xfId="0" applyNumberFormat="1" applyFont="1" applyFill="1" applyAlignment="1">
      <alignment horizontal="right" vertical="center" wrapText="1"/>
    </xf>
    <xf numFmtId="4" fontId="5" fillId="6" borderId="0" xfId="0" applyNumberFormat="1" applyFont="1" applyFill="1" applyAlignment="1">
      <alignment horizontal="right" vertical="center" wrapText="1"/>
    </xf>
    <xf numFmtId="0" fontId="4" fillId="3" borderId="0" xfId="0" applyFont="1" applyFill="1" applyAlignment="1">
      <alignment horizontal="left" vertical="center" wrapText="1"/>
    </xf>
    <xf numFmtId="4" fontId="4" fillId="3" borderId="0" xfId="0" applyNumberFormat="1" applyFont="1" applyFill="1" applyAlignment="1">
      <alignment horizontal="right" vertical="center" wrapText="1"/>
    </xf>
    <xf numFmtId="4" fontId="4" fillId="26" borderId="0" xfId="0" applyNumberFormat="1" applyFont="1" applyFill="1" applyAlignment="1">
      <alignment horizontal="right" vertical="center" wrapText="1"/>
    </xf>
    <xf numFmtId="4" fontId="4" fillId="3" borderId="0" xfId="0" applyNumberFormat="1" applyFont="1" applyFill="1" applyAlignment="1">
      <alignment horizontal="center" vertical="center" wrapText="1"/>
    </xf>
    <xf numFmtId="4" fontId="4" fillId="26" borderId="0" xfId="0" applyNumberFormat="1" applyFont="1" applyFill="1" applyAlignment="1">
      <alignment horizontal="center" vertical="center" wrapText="1"/>
    </xf>
    <xf numFmtId="0" fontId="4" fillId="9" borderId="0" xfId="0" applyFont="1" applyFill="1" applyAlignment="1">
      <alignment horizontal="right" wrapText="1" readingOrder="1"/>
    </xf>
    <xf numFmtId="17" fontId="4" fillId="9" borderId="0" xfId="0" applyNumberFormat="1" applyFont="1" applyFill="1" applyAlignment="1">
      <alignment horizontal="right" wrapText="1" readingOrder="1"/>
    </xf>
    <xf numFmtId="0" fontId="5" fillId="0" borderId="0" xfId="0" applyFont="1" applyAlignment="1">
      <alignment horizontal="left" wrapText="1" readingOrder="1"/>
    </xf>
    <xf numFmtId="3" fontId="5" fillId="0" borderId="0" xfId="0" applyNumberFormat="1" applyFont="1" applyAlignment="1">
      <alignment horizontal="right" wrapText="1" readingOrder="1"/>
    </xf>
    <xf numFmtId="0" fontId="5" fillId="6" borderId="0" xfId="0" applyFont="1" applyFill="1" applyAlignment="1">
      <alignment horizontal="left" wrapText="1" readingOrder="1"/>
    </xf>
    <xf numFmtId="3" fontId="5" fillId="6" borderId="0" xfId="0" applyNumberFormat="1" applyFont="1" applyFill="1" applyAlignment="1">
      <alignment horizontal="right" wrapText="1" readingOrder="1"/>
    </xf>
    <xf numFmtId="0" fontId="5" fillId="6" borderId="0" xfId="0" applyFont="1" applyFill="1" applyAlignment="1">
      <alignment horizontal="right" wrapText="1" readingOrder="1"/>
    </xf>
    <xf numFmtId="3" fontId="4" fillId="3" borderId="0" xfId="0" applyNumberFormat="1" applyFont="1" applyFill="1" applyAlignment="1">
      <alignment horizontal="right" wrapText="1" readingOrder="1"/>
    </xf>
    <xf numFmtId="2" fontId="5" fillId="0" borderId="0" xfId="0" applyNumberFormat="1" applyFont="1" applyAlignment="1">
      <alignment horizontal="right" wrapText="1" readingOrder="1"/>
    </xf>
    <xf numFmtId="2" fontId="5" fillId="6" borderId="0" xfId="0" applyNumberFormat="1" applyFont="1" applyFill="1" applyAlignment="1">
      <alignment horizontal="right" wrapText="1" readingOrder="1"/>
    </xf>
    <xf numFmtId="2" fontId="4" fillId="3" borderId="0" xfId="0" applyNumberFormat="1" applyFont="1" applyFill="1" applyAlignment="1">
      <alignment horizontal="right" wrapText="1" readingOrder="1"/>
    </xf>
    <xf numFmtId="165" fontId="5" fillId="0" borderId="0" xfId="7" applyNumberFormat="1" applyFont="1" applyAlignment="1">
      <alignment horizontal="right" wrapText="1" readingOrder="1"/>
    </xf>
    <xf numFmtId="0" fontId="14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5" fontId="5" fillId="6" borderId="0" xfId="7" applyNumberFormat="1" applyFont="1" applyFill="1" applyAlignment="1">
      <alignment horizontal="right" wrapText="1" readingOrder="1"/>
    </xf>
    <xf numFmtId="165" fontId="4" fillId="3" borderId="0" xfId="7" applyNumberFormat="1" applyFont="1" applyFill="1" applyAlignment="1">
      <alignment horizontal="right" wrapText="1" readingOrder="1"/>
    </xf>
    <xf numFmtId="0" fontId="35" fillId="0" borderId="0" xfId="0" applyFont="1"/>
    <xf numFmtId="43" fontId="4" fillId="3" borderId="0" xfId="7" applyFont="1" applyFill="1" applyAlignment="1">
      <alignment horizontal="right" wrapText="1" readingOrder="1"/>
    </xf>
    <xf numFmtId="0" fontId="4" fillId="0" borderId="0" xfId="0" applyFont="1" applyAlignment="1">
      <alignment horizontal="right" wrapText="1" readingOrder="1"/>
    </xf>
    <xf numFmtId="43" fontId="5" fillId="6" borderId="0" xfId="0" applyNumberFormat="1" applyFont="1" applyFill="1" applyAlignment="1">
      <alignment horizontal="right" wrapText="1" readingOrder="1"/>
    </xf>
    <xf numFmtId="165" fontId="5" fillId="6" borderId="0" xfId="0" applyNumberFormat="1" applyFont="1" applyFill="1" applyAlignment="1">
      <alignment horizontal="right" wrapText="1" readingOrder="1"/>
    </xf>
    <xf numFmtId="43" fontId="5" fillId="0" borderId="0" xfId="0" applyNumberFormat="1" applyFont="1" applyAlignment="1">
      <alignment horizontal="right" wrapText="1" readingOrder="1"/>
    </xf>
    <xf numFmtId="165" fontId="5" fillId="0" borderId="0" xfId="0" applyNumberFormat="1" applyFont="1" applyAlignment="1">
      <alignment horizontal="right" wrapText="1" readingOrder="1"/>
    </xf>
    <xf numFmtId="165" fontId="4" fillId="3" borderId="0" xfId="0" applyNumberFormat="1" applyFont="1" applyFill="1" applyAlignment="1">
      <alignment horizontal="right" wrapText="1" readingOrder="1"/>
    </xf>
    <xf numFmtId="174" fontId="14" fillId="6" borderId="0" xfId="0" applyNumberFormat="1" applyFont="1" applyFill="1" applyAlignment="1">
      <alignment horizontal="right" wrapText="1"/>
    </xf>
    <xf numFmtId="174" fontId="14" fillId="0" borderId="0" xfId="0" applyNumberFormat="1" applyFont="1" applyAlignment="1">
      <alignment horizontal="right" wrapText="1"/>
    </xf>
    <xf numFmtId="0" fontId="4" fillId="9" borderId="0" xfId="0" applyFont="1" applyFill="1" applyAlignment="1">
      <alignment wrapText="1" readingOrder="1"/>
    </xf>
    <xf numFmtId="3" fontId="5" fillId="0" borderId="0" xfId="0" applyNumberFormat="1" applyFont="1" applyAlignment="1">
      <alignment wrapText="1" readingOrder="1"/>
    </xf>
    <xf numFmtId="3" fontId="5" fillId="0" borderId="0" xfId="0" applyNumberFormat="1" applyFont="1" applyFill="1" applyAlignment="1">
      <alignment wrapText="1" readingOrder="1"/>
    </xf>
    <xf numFmtId="0" fontId="5" fillId="0" borderId="0" xfId="0" applyFont="1" applyFill="1" applyAlignment="1">
      <alignment horizontal="right" wrapText="1" readingOrder="1"/>
    </xf>
    <xf numFmtId="3" fontId="4" fillId="3" borderId="0" xfId="0" applyNumberFormat="1" applyFont="1" applyFill="1" applyAlignment="1">
      <alignment wrapText="1" readingOrder="1"/>
    </xf>
    <xf numFmtId="43" fontId="5" fillId="7" borderId="0" xfId="7" applyFont="1" applyFill="1" applyAlignment="1">
      <alignment horizontal="right" vertical="center" wrapText="1"/>
    </xf>
    <xf numFmtId="43" fontId="5" fillId="6" borderId="0" xfId="7" applyFont="1" applyFill="1" applyAlignment="1">
      <alignment horizontal="right" vertical="center" wrapText="1"/>
    </xf>
    <xf numFmtId="4" fontId="5" fillId="7" borderId="0" xfId="0" applyNumberFormat="1" applyFont="1" applyFill="1" applyAlignment="1">
      <alignment horizontal="center" vertical="center" wrapText="1"/>
    </xf>
    <xf numFmtId="4" fontId="5" fillId="6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Alignment="1">
      <alignment horizontal="right" wrapText="1" readingOrder="1"/>
    </xf>
    <xf numFmtId="4" fontId="5" fillId="6" borderId="0" xfId="0" applyNumberFormat="1" applyFont="1" applyFill="1" applyAlignment="1">
      <alignment horizontal="right" wrapText="1" readingOrder="1"/>
    </xf>
    <xf numFmtId="4" fontId="4" fillId="3" borderId="0" xfId="0" applyNumberFormat="1" applyFont="1" applyFill="1" applyAlignment="1">
      <alignment horizontal="right" wrapText="1" readingOrder="1"/>
    </xf>
    <xf numFmtId="4" fontId="5" fillId="0" borderId="0" xfId="7" applyNumberFormat="1" applyFont="1" applyAlignment="1">
      <alignment horizontal="right" wrapText="1" readingOrder="1"/>
    </xf>
    <xf numFmtId="4" fontId="5" fillId="6" borderId="0" xfId="7" applyNumberFormat="1" applyFont="1" applyFill="1" applyAlignment="1">
      <alignment horizontal="right" wrapText="1" readingOrder="1"/>
    </xf>
    <xf numFmtId="4" fontId="4" fillId="3" borderId="0" xfId="7" applyNumberFormat="1" applyFont="1" applyFill="1" applyAlignment="1">
      <alignment horizontal="right" wrapText="1" readingOrder="1"/>
    </xf>
    <xf numFmtId="4" fontId="14" fillId="6" borderId="0" xfId="0" applyNumberFormat="1" applyFont="1" applyFill="1" applyAlignment="1">
      <alignment horizontal="right" wrapText="1"/>
    </xf>
    <xf numFmtId="0" fontId="5" fillId="4" borderId="0" xfId="0" applyFont="1" applyFill="1" applyAlignment="1">
      <alignment horizontal="left" wrapText="1" readingOrder="1"/>
    </xf>
    <xf numFmtId="0" fontId="5" fillId="4" borderId="0" xfId="0" applyFont="1" applyFill="1" applyAlignment="1">
      <alignment horizontal="right" wrapText="1" readingOrder="1"/>
    </xf>
    <xf numFmtId="0" fontId="0" fillId="4" borderId="0" xfId="0" applyFill="1"/>
    <xf numFmtId="2" fontId="5" fillId="4" borderId="0" xfId="0" applyNumberFormat="1" applyFont="1" applyFill="1" applyAlignment="1">
      <alignment horizontal="right" wrapText="1" readingOrder="1"/>
    </xf>
    <xf numFmtId="0" fontId="5" fillId="4" borderId="0" xfId="0" applyFont="1" applyFill="1" applyAlignment="1">
      <alignment wrapText="1" readingOrder="1"/>
    </xf>
    <xf numFmtId="4" fontId="5" fillId="4" borderId="0" xfId="0" applyNumberFormat="1" applyFont="1" applyFill="1" applyAlignment="1">
      <alignment horizontal="right" wrapText="1" readingOrder="1"/>
    </xf>
    <xf numFmtId="4" fontId="14" fillId="4" borderId="0" xfId="0" applyNumberFormat="1" applyFont="1" applyFill="1" applyAlignment="1">
      <alignment horizontal="right" wrapText="1"/>
    </xf>
    <xf numFmtId="0" fontId="14" fillId="4" borderId="0" xfId="0" applyFont="1" applyFill="1" applyAlignment="1">
      <alignment wrapText="1"/>
    </xf>
    <xf numFmtId="0" fontId="42" fillId="0" borderId="0" xfId="0" applyFont="1"/>
    <xf numFmtId="0" fontId="6" fillId="5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43" fontId="4" fillId="9" borderId="0" xfId="1" applyFont="1" applyFill="1" applyAlignment="1">
      <alignment horizontal="center" vertical="center" wrapText="1"/>
    </xf>
    <xf numFmtId="1" fontId="4" fillId="9" borderId="0" xfId="1" applyNumberFormat="1" applyFont="1" applyFill="1" applyAlignment="1">
      <alignment vertical="center" wrapText="1"/>
    </xf>
    <xf numFmtId="43" fontId="2" fillId="0" borderId="0" xfId="1" applyFont="1" applyAlignment="1">
      <alignment horizontal="center"/>
    </xf>
    <xf numFmtId="43" fontId="2" fillId="0" borderId="0" xfId="1" applyFont="1"/>
    <xf numFmtId="173" fontId="2" fillId="0" borderId="0" xfId="1" applyNumberFormat="1" applyFont="1"/>
    <xf numFmtId="43" fontId="5" fillId="0" borderId="0" xfId="8" applyFont="1" applyAlignment="1">
      <alignment horizontal="left" wrapText="1" readingOrder="1"/>
    </xf>
    <xf numFmtId="175" fontId="5" fillId="0" borderId="0" xfId="8" applyNumberFormat="1" applyFont="1" applyAlignment="1">
      <alignment horizontal="left" wrapText="1" readingOrder="1"/>
    </xf>
    <xf numFmtId="175" fontId="5" fillId="4" borderId="0" xfId="8" applyNumberFormat="1" applyFont="1" applyFill="1" applyAlignment="1">
      <alignment horizontal="left" wrapText="1" readingOrder="1"/>
    </xf>
    <xf numFmtId="43" fontId="5" fillId="4" borderId="0" xfId="8" applyFont="1" applyFill="1" applyAlignment="1">
      <alignment horizontal="left" wrapText="1" readingOrder="1"/>
    </xf>
    <xf numFmtId="0" fontId="4" fillId="3" borderId="0" xfId="0" applyFont="1" applyFill="1" applyAlignment="1">
      <alignment horizontal="left" vertical="center" wrapText="1" readingOrder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7" borderId="0" xfId="0" applyFont="1" applyFill="1" applyBorder="1" applyAlignment="1">
      <alignment horizontal="left" vertical="center"/>
    </xf>
    <xf numFmtId="0" fontId="2" fillId="8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left" vertical="center" wrapText="1" readingOrder="1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 readingOrder="1"/>
    </xf>
    <xf numFmtId="0" fontId="4" fillId="3" borderId="0" xfId="0" applyFont="1" applyFill="1" applyAlignment="1">
      <alignment horizontal="center" vertical="center" wrapText="1" readingOrder="1"/>
    </xf>
    <xf numFmtId="0" fontId="4" fillId="3" borderId="0" xfId="0" applyFont="1" applyFill="1" applyAlignment="1">
      <alignment horizontal="right" vertical="center" wrapText="1" readingOrder="1"/>
    </xf>
    <xf numFmtId="0" fontId="7" fillId="0" borderId="0" xfId="0" applyFont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 readingOrder="1"/>
    </xf>
    <xf numFmtId="0" fontId="5" fillId="6" borderId="0" xfId="0" applyFont="1" applyFill="1" applyBorder="1" applyAlignment="1">
      <alignment horizontal="left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left" vertical="center" wrapText="1" readingOrder="1"/>
    </xf>
    <xf numFmtId="0" fontId="5" fillId="0" borderId="19" xfId="0" applyFont="1" applyFill="1" applyBorder="1" applyAlignment="1">
      <alignment horizontal="center" vertical="center" wrapText="1" readingOrder="1"/>
    </xf>
    <xf numFmtId="0" fontId="5" fillId="0" borderId="22" xfId="0" applyFont="1" applyFill="1" applyBorder="1" applyAlignment="1">
      <alignment horizontal="center" vertical="center" wrapText="1" readingOrder="1"/>
    </xf>
    <xf numFmtId="0" fontId="5" fillId="0" borderId="24" xfId="0" applyFont="1" applyFill="1" applyBorder="1" applyAlignment="1">
      <alignment horizontal="center" vertical="center" wrapText="1" readingOrder="1"/>
    </xf>
    <xf numFmtId="0" fontId="5" fillId="0" borderId="20" xfId="0" applyFont="1" applyFill="1" applyBorder="1" applyAlignment="1">
      <alignment horizontal="center" vertical="center" wrapText="1" readingOrder="1"/>
    </xf>
    <xf numFmtId="0" fontId="5" fillId="0" borderId="20" xfId="0" applyFont="1" applyBorder="1" applyAlignment="1">
      <alignment horizontal="left" vertical="center" wrapText="1" readingOrder="1"/>
    </xf>
    <xf numFmtId="0" fontId="5" fillId="0" borderId="21" xfId="0" applyFont="1" applyBorder="1" applyAlignment="1">
      <alignment horizontal="center" vertical="center" wrapText="1" readingOrder="1"/>
    </xf>
    <xf numFmtId="0" fontId="5" fillId="0" borderId="23" xfId="0" applyFont="1" applyBorder="1" applyAlignment="1">
      <alignment horizontal="center" vertical="center" wrapText="1" readingOrder="1"/>
    </xf>
    <xf numFmtId="0" fontId="5" fillId="8" borderId="20" xfId="0" applyFont="1" applyFill="1" applyBorder="1" applyAlignment="1">
      <alignment horizontal="center" vertical="center" wrapText="1" readingOrder="1"/>
    </xf>
    <xf numFmtId="0" fontId="5" fillId="8" borderId="0" xfId="0" applyFont="1" applyFill="1" applyBorder="1" applyAlignment="1">
      <alignment horizontal="center" vertical="center" wrapText="1" readingOrder="1"/>
    </xf>
    <xf numFmtId="0" fontId="5" fillId="8" borderId="25" xfId="0" applyFont="1" applyFill="1" applyBorder="1" applyAlignment="1">
      <alignment horizontal="center" vertical="center" wrapText="1" readingOrder="1"/>
    </xf>
    <xf numFmtId="0" fontId="5" fillId="8" borderId="21" xfId="0" applyFont="1" applyFill="1" applyBorder="1" applyAlignment="1">
      <alignment horizontal="center" vertical="center" wrapText="1" readingOrder="1"/>
    </xf>
    <xf numFmtId="0" fontId="5" fillId="8" borderId="23" xfId="0" applyFont="1" applyFill="1" applyBorder="1" applyAlignment="1">
      <alignment horizontal="center" vertical="center" wrapText="1" readingOrder="1"/>
    </xf>
    <xf numFmtId="0" fontId="5" fillId="0" borderId="2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 readingOrder="1"/>
    </xf>
    <xf numFmtId="0" fontId="4" fillId="9" borderId="0" xfId="0" applyFont="1" applyFill="1" applyAlignment="1">
      <alignment horizontal="center" vertical="center" wrapText="1" readingOrder="1"/>
    </xf>
    <xf numFmtId="0" fontId="4" fillId="9" borderId="19" xfId="0" applyFont="1" applyFill="1" applyBorder="1" applyAlignment="1">
      <alignment horizontal="center" vertical="center" wrapText="1" readingOrder="1"/>
    </xf>
    <xf numFmtId="0" fontId="4" fillId="9" borderId="20" xfId="0" applyFont="1" applyFill="1" applyBorder="1" applyAlignment="1">
      <alignment horizontal="center" vertical="center" wrapText="1" readingOrder="1"/>
    </xf>
    <xf numFmtId="0" fontId="4" fillId="9" borderId="21" xfId="0" applyFont="1" applyFill="1" applyBorder="1" applyAlignment="1">
      <alignment horizontal="center" vertical="center" wrapText="1" readingOrder="1"/>
    </xf>
    <xf numFmtId="0" fontId="4" fillId="3" borderId="22" xfId="0" applyFont="1" applyFill="1" applyBorder="1" applyAlignment="1">
      <alignment horizontal="center" vertical="center" wrapText="1" readingOrder="1"/>
    </xf>
    <xf numFmtId="0" fontId="4" fillId="3" borderId="0" xfId="0" applyFont="1" applyFill="1" applyBorder="1" applyAlignment="1">
      <alignment horizontal="left" vertical="center" wrapText="1" readingOrder="1"/>
    </xf>
    <xf numFmtId="0" fontId="4" fillId="3" borderId="0" xfId="0" applyFont="1" applyFill="1" applyBorder="1" applyAlignment="1">
      <alignment horizontal="center" vertical="center" wrapText="1" readingOrder="1"/>
    </xf>
    <xf numFmtId="0" fontId="4" fillId="3" borderId="23" xfId="0" applyFont="1" applyFill="1" applyBorder="1" applyAlignment="1">
      <alignment horizontal="center" vertical="center" wrapText="1" readingOrder="1"/>
    </xf>
    <xf numFmtId="0" fontId="5" fillId="0" borderId="22" xfId="0" applyFont="1" applyBorder="1" applyAlignment="1">
      <alignment horizontal="center" vertical="center" wrapText="1" readingOrder="1"/>
    </xf>
    <xf numFmtId="0" fontId="5" fillId="6" borderId="22" xfId="0" applyFont="1" applyFill="1" applyBorder="1" applyAlignment="1">
      <alignment horizontal="center" vertical="center" wrapText="1" readingOrder="1"/>
    </xf>
    <xf numFmtId="0" fontId="5" fillId="4" borderId="23" xfId="0" applyFont="1" applyFill="1" applyBorder="1" applyAlignment="1">
      <alignment horizontal="center" vertical="center" wrapText="1" readingOrder="1"/>
    </xf>
    <xf numFmtId="0" fontId="5" fillId="6" borderId="23" xfId="0" applyFont="1" applyFill="1" applyBorder="1" applyAlignment="1">
      <alignment horizontal="center" vertical="center" wrapText="1" readingOrder="1"/>
    </xf>
    <xf numFmtId="0" fontId="5" fillId="0" borderId="23" xfId="0" applyFont="1" applyFill="1" applyBorder="1" applyAlignment="1">
      <alignment horizontal="center" vertical="center" wrapText="1" readingOrder="1"/>
    </xf>
    <xf numFmtId="0" fontId="2" fillId="4" borderId="2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4" fillId="4" borderId="0" xfId="4" applyFont="1" applyFill="1" applyBorder="1" applyAlignment="1">
      <alignment horizontal="left" vertical="center" wrapText="1"/>
    </xf>
    <xf numFmtId="0" fontId="14" fillId="4" borderId="22" xfId="4" applyFont="1" applyFill="1" applyBorder="1" applyAlignment="1">
      <alignment horizontal="center" vertical="center"/>
    </xf>
    <xf numFmtId="0" fontId="14" fillId="4" borderId="23" xfId="4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 readingOrder="1"/>
    </xf>
    <xf numFmtId="0" fontId="5" fillId="10" borderId="22" xfId="0" applyFont="1" applyFill="1" applyBorder="1" applyAlignment="1">
      <alignment horizontal="center" vertical="center" wrapText="1" readingOrder="1"/>
    </xf>
    <xf numFmtId="0" fontId="5" fillId="10" borderId="0" xfId="0" applyFont="1" applyFill="1" applyBorder="1" applyAlignment="1">
      <alignment horizontal="left" vertical="center" wrapText="1" readingOrder="1"/>
    </xf>
    <xf numFmtId="0" fontId="5" fillId="10" borderId="23" xfId="0" applyFont="1" applyFill="1" applyBorder="1" applyAlignment="1">
      <alignment horizontal="center" vertical="center" wrapText="1" readingOrder="1"/>
    </xf>
    <xf numFmtId="0" fontId="4" fillId="3" borderId="24" xfId="0" applyFont="1" applyFill="1" applyBorder="1" applyAlignment="1">
      <alignment horizontal="left" vertical="center" wrapText="1" readingOrder="1"/>
    </xf>
    <xf numFmtId="0" fontId="4" fillId="3" borderId="25" xfId="0" applyFont="1" applyFill="1" applyBorder="1" applyAlignment="1">
      <alignment horizontal="left" vertical="center" wrapText="1" readingOrder="1"/>
    </xf>
    <xf numFmtId="0" fontId="4" fillId="3" borderId="25" xfId="0" applyFont="1" applyFill="1" applyBorder="1" applyAlignment="1">
      <alignment horizontal="right" vertical="center" wrapText="1" readingOrder="1"/>
    </xf>
    <xf numFmtId="0" fontId="4" fillId="3" borderId="26" xfId="0" applyFont="1" applyFill="1" applyBorder="1" applyAlignment="1">
      <alignment horizontal="right" vertical="center" wrapText="1" readingOrder="1"/>
    </xf>
    <xf numFmtId="0" fontId="5" fillId="8" borderId="22" xfId="0" applyFont="1" applyFill="1" applyBorder="1" applyAlignment="1">
      <alignment horizontal="center" vertical="center" wrapText="1" readingOrder="1"/>
    </xf>
    <xf numFmtId="0" fontId="5" fillId="8" borderId="0" xfId="0" applyFont="1" applyFill="1" applyBorder="1" applyAlignment="1">
      <alignment horizontal="left" vertical="center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4" fillId="12" borderId="0" xfId="0" applyFont="1" applyFill="1" applyAlignment="1">
      <alignment horizontal="left" vertical="center" wrapText="1" readingOrder="1"/>
    </xf>
    <xf numFmtId="0" fontId="7" fillId="0" borderId="0" xfId="0" applyFont="1" applyAlignment="1">
      <alignment horizontal="center" wrapText="1"/>
    </xf>
    <xf numFmtId="0" fontId="4" fillId="9" borderId="0" xfId="0" applyFont="1" applyFill="1" applyAlignment="1">
      <alignment horizontal="center" wrapText="1" readingOrder="1"/>
    </xf>
    <xf numFmtId="0" fontId="4" fillId="11" borderId="0" xfId="0" applyFont="1" applyFill="1" applyAlignment="1">
      <alignment horizontal="center" vertical="center" wrapText="1" readingOrder="1"/>
    </xf>
    <xf numFmtId="0" fontId="19" fillId="19" borderId="0" xfId="0" applyFont="1" applyFill="1" applyAlignment="1">
      <alignment horizontal="center" vertical="center" wrapText="1"/>
    </xf>
    <xf numFmtId="0" fontId="4" fillId="11" borderId="0" xfId="0" applyFont="1" applyFill="1" applyAlignment="1">
      <alignment horizontal="center" wrapText="1" readingOrder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14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 readingOrder="1"/>
    </xf>
    <xf numFmtId="0" fontId="20" fillId="19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 readingOrder="1"/>
    </xf>
    <xf numFmtId="0" fontId="14" fillId="4" borderId="0" xfId="0" applyFont="1" applyFill="1" applyAlignment="1">
      <alignment horizontal="left" vertical="center" wrapText="1" readingOrder="1"/>
    </xf>
    <xf numFmtId="0" fontId="14" fillId="0" borderId="0" xfId="0" applyFont="1" applyFill="1" applyAlignment="1">
      <alignment horizontal="left" vertical="center" wrapText="1" readingOrder="1"/>
    </xf>
    <xf numFmtId="0" fontId="23" fillId="3" borderId="0" xfId="0" applyFont="1" applyFill="1" applyAlignment="1">
      <alignment horizontal="left" vertical="center" wrapText="1" readingOrder="1"/>
    </xf>
    <xf numFmtId="0" fontId="19" fillId="20" borderId="0" xfId="0" applyFont="1" applyFill="1" applyAlignment="1">
      <alignment horizontal="center" vertical="center" wrapText="1"/>
    </xf>
    <xf numFmtId="0" fontId="27" fillId="5" borderId="0" xfId="0" applyFont="1" applyFill="1" applyAlignment="1">
      <alignment horizontal="right" wrapText="1" readingOrder="1"/>
    </xf>
    <xf numFmtId="0" fontId="14" fillId="0" borderId="0" xfId="0" applyFont="1" applyAlignment="1">
      <alignment horizontal="center" vertical="center" wrapText="1"/>
    </xf>
    <xf numFmtId="0" fontId="4" fillId="17" borderId="0" xfId="0" applyFont="1" applyFill="1" applyAlignment="1">
      <alignment horizontal="center" vertical="center" wrapText="1" readingOrder="1"/>
    </xf>
    <xf numFmtId="0" fontId="27" fillId="5" borderId="0" xfId="0" applyFont="1" applyFill="1" applyAlignment="1">
      <alignment horizontal="right" vertical="center" wrapText="1" readingOrder="1"/>
    </xf>
    <xf numFmtId="0" fontId="23" fillId="3" borderId="0" xfId="0" applyFont="1" applyFill="1" applyAlignment="1">
      <alignment horizontal="right" vertical="center" wrapText="1" readingOrder="1"/>
    </xf>
    <xf numFmtId="0" fontId="6" fillId="5" borderId="0" xfId="0" applyFont="1" applyFill="1" applyAlignment="1">
      <alignment horizontal="right" vertical="center" wrapText="1" readingOrder="1"/>
    </xf>
    <xf numFmtId="0" fontId="4" fillId="17" borderId="0" xfId="0" applyFont="1" applyFill="1" applyAlignment="1">
      <alignment horizontal="center" wrapText="1" readingOrder="1"/>
    </xf>
    <xf numFmtId="0" fontId="6" fillId="5" borderId="0" xfId="0" applyFont="1" applyFill="1" applyAlignment="1">
      <alignment horizontal="right" wrapText="1" readingOrder="1"/>
    </xf>
    <xf numFmtId="0" fontId="14" fillId="0" borderId="0" xfId="0" applyFont="1" applyAlignment="1">
      <alignment horizontal="center" vertical="center" wrapText="1" readingOrder="1"/>
    </xf>
    <xf numFmtId="0" fontId="27" fillId="5" borderId="0" xfId="0" applyFont="1" applyFill="1" applyAlignment="1">
      <alignment horizontal="left" vertical="center" wrapText="1" readingOrder="1"/>
    </xf>
    <xf numFmtId="0" fontId="6" fillId="6" borderId="0" xfId="0" applyFont="1" applyFill="1" applyAlignment="1">
      <alignment horizontal="center" vertical="top" wrapText="1" readingOrder="1"/>
    </xf>
    <xf numFmtId="0" fontId="6" fillId="21" borderId="0" xfId="0" applyFont="1" applyFill="1" applyAlignment="1">
      <alignment horizontal="center" vertical="top" wrapText="1" readingOrder="1"/>
    </xf>
    <xf numFmtId="0" fontId="6" fillId="18" borderId="0" xfId="0" applyFont="1" applyFill="1" applyAlignment="1">
      <alignment horizontal="center" wrapText="1" readingOrder="1"/>
    </xf>
    <xf numFmtId="0" fontId="6" fillId="3" borderId="0" xfId="0" applyFont="1" applyFill="1" applyAlignment="1">
      <alignment vertical="center" wrapText="1"/>
    </xf>
    <xf numFmtId="0" fontId="4" fillId="2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5" borderId="0" xfId="0" applyFont="1" applyFill="1" applyAlignment="1">
      <alignment vertical="center" wrapText="1"/>
    </xf>
    <xf numFmtId="0" fontId="6" fillId="2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3" fillId="9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vertical="center" wrapText="1"/>
    </xf>
    <xf numFmtId="0" fontId="34" fillId="0" borderId="0" xfId="0" applyFont="1" applyFill="1" applyAlignment="1">
      <alignment horizontal="left" vertical="center" wrapText="1"/>
    </xf>
    <xf numFmtId="0" fontId="2" fillId="9" borderId="0" xfId="0" applyFont="1" applyFill="1" applyAlignment="1">
      <alignment vertical="center" wrapText="1"/>
    </xf>
    <xf numFmtId="0" fontId="6" fillId="0" borderId="0" xfId="0" applyFont="1" applyAlignment="1">
      <alignment horizontal="left" wrapText="1" readingOrder="1"/>
    </xf>
    <xf numFmtId="0" fontId="36" fillId="0" borderId="0" xfId="0" applyFont="1" applyAlignment="1">
      <alignment horizontal="left" wrapText="1"/>
    </xf>
    <xf numFmtId="0" fontId="37" fillId="0" borderId="0" xfId="0" applyFont="1" applyAlignment="1">
      <alignment horizontal="left" wrapText="1" readingOrder="1"/>
    </xf>
    <xf numFmtId="0" fontId="40" fillId="0" borderId="0" xfId="0" applyFont="1" applyAlignment="1">
      <alignment horizontal="left" wrapText="1"/>
    </xf>
    <xf numFmtId="0" fontId="35" fillId="0" borderId="0" xfId="0" applyFont="1" applyFill="1" applyAlignment="1">
      <alignment horizontal="left" vertical="center" wrapText="1"/>
    </xf>
    <xf numFmtId="165" fontId="14" fillId="0" borderId="0" xfId="1" applyNumberFormat="1" applyFont="1" applyAlignment="1">
      <alignment horizontal="center" wrapText="1"/>
    </xf>
    <xf numFmtId="165" fontId="5" fillId="6" borderId="0" xfId="1" applyNumberFormat="1" applyFont="1" applyFill="1" applyAlignment="1">
      <alignment horizontal="center" wrapText="1"/>
    </xf>
    <xf numFmtId="165" fontId="14" fillId="0" borderId="0" xfId="1" applyNumberFormat="1" applyFont="1" applyAlignment="1">
      <alignment horizontal="right" wrapText="1"/>
    </xf>
    <xf numFmtId="165" fontId="5" fillId="6" borderId="0" xfId="1" applyNumberFormat="1" applyFont="1" applyFill="1" applyAlignment="1">
      <alignment horizontal="right" wrapText="1"/>
    </xf>
  </cellXfs>
  <cellStyles count="11">
    <cellStyle name="Comma" xfId="7"/>
    <cellStyle name="Comma 2" xfId="8"/>
    <cellStyle name="Euro" xfId="5"/>
    <cellStyle name="Millares" xfId="1" builtinId="3"/>
    <cellStyle name="Normal" xfId="0" builtinId="0"/>
    <cellStyle name="Normal 2" xfId="6"/>
    <cellStyle name="Normal 2 2" xfId="10"/>
    <cellStyle name="Normal 2 2 2" xfId="3"/>
    <cellStyle name="Normal 3" xfId="4"/>
    <cellStyle name="Normal 3 2" xfId="9"/>
    <cellStyle name="Porcentaje" xfId="2" builtinId="5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50481189851271E-2"/>
          <c:y val="0.16666666666666666"/>
          <c:w val="0.87129396325459318"/>
          <c:h val="0.675077282006415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CC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1BB-4B41-A515-B6CAB9785FF1}"/>
              </c:ext>
            </c:extLst>
          </c:dPt>
          <c:dPt>
            <c:idx val="6"/>
            <c:invertIfNegative val="0"/>
            <c:bubble3D val="0"/>
            <c:spPr>
              <a:solidFill>
                <a:srgbClr val="00CC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1BB-4B41-A515-B6CAB9785F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'01'!$J$40:$J$46</c:f>
              <c:strCache>
                <c:ptCount val="7"/>
                <c:pt idx="0">
                  <c:v>Acum. (2017-2020)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Acum. (2021-2025)</c:v>
                </c:pt>
              </c:strCache>
            </c:strRef>
          </c:cat>
          <c:val>
            <c:numRef>
              <c:f>'01'!$L$40:$L$46</c:f>
              <c:numCache>
                <c:formatCode>#,##0</c:formatCode>
                <c:ptCount val="7"/>
                <c:pt idx="0">
                  <c:v>376.22</c:v>
                </c:pt>
                <c:pt idx="1">
                  <c:v>0</c:v>
                </c:pt>
                <c:pt idx="2">
                  <c:v>430</c:v>
                </c:pt>
                <c:pt idx="3">
                  <c:v>2000</c:v>
                </c:pt>
                <c:pt idx="4">
                  <c:v>1000</c:v>
                </c:pt>
                <c:pt idx="5">
                  <c:v>0</c:v>
                </c:pt>
                <c:pt idx="6">
                  <c:v>3430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BB-4B41-A515-B6CAB9785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9302383"/>
        <c:axId val="789307375"/>
      </c:barChart>
      <c:catAx>
        <c:axId val="7893023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789307375"/>
        <c:crosses val="autoZero"/>
        <c:auto val="1"/>
        <c:lblAlgn val="ctr"/>
        <c:lblOffset val="100"/>
        <c:noMultiLvlLbl val="0"/>
      </c:catAx>
      <c:valAx>
        <c:axId val="789307375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789302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'10'!$M$56</c:f>
              <c:strCache>
                <c:ptCount val="1"/>
                <c:pt idx="0">
                  <c:v>Petróleo</c:v>
                </c:pt>
              </c:strCache>
            </c:strRef>
          </c:tx>
          <c:spPr>
            <a:solidFill>
              <a:srgbClr val="00CC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'10'!$P$55:$T$55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'10'!$P$56:$T$56</c:f>
              <c:numCache>
                <c:formatCode>0.0</c:formatCode>
                <c:ptCount val="5"/>
                <c:pt idx="0">
                  <c:v>44.167999999999999</c:v>
                </c:pt>
                <c:pt idx="1">
                  <c:v>57.551000000000002</c:v>
                </c:pt>
                <c:pt idx="2">
                  <c:v>60.139000000000003</c:v>
                </c:pt>
                <c:pt idx="3">
                  <c:v>60.936</c:v>
                </c:pt>
                <c:pt idx="4">
                  <c:v>63.066000000000003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80-4CBF-AF67-1038C1140808}"/>
            </c:ext>
          </c:extLst>
        </c:ser>
        <c:ser>
          <c:idx val="1"/>
          <c:order val="1"/>
          <c:tx>
            <c:strRef>
              <c:f>'10'!$M$57</c:f>
              <c:strCache>
                <c:ptCount val="1"/>
                <c:pt idx="0">
                  <c:v>Líquidos de Gas Natural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'10'!$P$55:$T$55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'10'!$P$57:$T$57</c:f>
              <c:numCache>
                <c:formatCode>0.0</c:formatCode>
                <c:ptCount val="5"/>
                <c:pt idx="0">
                  <c:v>84.311999999999998</c:v>
                </c:pt>
                <c:pt idx="1">
                  <c:v>81.766000000000005</c:v>
                </c:pt>
                <c:pt idx="2">
                  <c:v>78.757000000000005</c:v>
                </c:pt>
                <c:pt idx="3">
                  <c:v>75.747</c:v>
                </c:pt>
                <c:pt idx="4">
                  <c:v>72.738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80-4CBF-AF67-1038C1140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412544"/>
        <c:axId val="1279414720"/>
      </c:barChart>
      <c:catAx>
        <c:axId val="127941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PE"/>
          </a:p>
        </c:txPr>
        <c:crossAx val="1279414720"/>
        <c:crosses val="autoZero"/>
        <c:auto val="1"/>
        <c:lblAlgn val="ctr"/>
        <c:lblOffset val="100"/>
        <c:noMultiLvlLbl val="0"/>
      </c:catAx>
      <c:valAx>
        <c:axId val="127941472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PE"/>
          </a:p>
        </c:txPr>
        <c:crossAx val="127941254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b="1"/>
          </a:pPr>
          <a:endParaRPr lang="es-P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69257510552937"/>
          <c:y val="0.17954437043106578"/>
          <c:w val="0.75817536760541926"/>
          <c:h val="0.59332952319473875"/>
        </c:manualLayout>
      </c:layout>
      <c:areaChart>
        <c:grouping val="standard"/>
        <c:varyColors val="0"/>
        <c:ser>
          <c:idx val="0"/>
          <c:order val="0"/>
          <c:tx>
            <c:strRef>
              <c:f>'11'!$B$29</c:f>
              <c:strCache>
                <c:ptCount val="1"/>
                <c:pt idx="0">
                  <c:v>Total (MMPC)</c:v>
                </c:pt>
              </c:strCache>
            </c:strRef>
          </c:tx>
          <c:spPr>
            <a:pattFill prst="pct25">
              <a:fgClr>
                <a:schemeClr val="accent1"/>
              </a:fgClr>
              <a:bgClr>
                <a:schemeClr val="bg1"/>
              </a:bgClr>
            </a:pattFill>
            <a:ln w="25400">
              <a:noFill/>
            </a:ln>
          </c:spPr>
          <c:cat>
            <c:strRef>
              <c:f>'[1]5'!$V$31:$V$42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'11'!$C$29:$N$29</c:f>
              <c:numCache>
                <c:formatCode>#,##0.0</c:formatCode>
                <c:ptCount val="12"/>
                <c:pt idx="0">
                  <c:v>37563.341439500007</c:v>
                </c:pt>
                <c:pt idx="1">
                  <c:v>36243.378920700001</c:v>
                </c:pt>
                <c:pt idx="2">
                  <c:v>28002.611241399998</c:v>
                </c:pt>
                <c:pt idx="3">
                  <c:v>23705.364893900005</c:v>
                </c:pt>
                <c:pt idx="4">
                  <c:v>26223.3715973</c:v>
                </c:pt>
                <c:pt idx="5">
                  <c:v>24983.2350233</c:v>
                </c:pt>
                <c:pt idx="6">
                  <c:v>41729.146299099993</c:v>
                </c:pt>
                <c:pt idx="7">
                  <c:v>40258.309774200003</c:v>
                </c:pt>
                <c:pt idx="8">
                  <c:v>40289.2870711</c:v>
                </c:pt>
                <c:pt idx="9">
                  <c:v>38899.678891099997</c:v>
                </c:pt>
                <c:pt idx="10">
                  <c:v>44722.640773100007</c:v>
                </c:pt>
                <c:pt idx="11">
                  <c:v>42206.980549699998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A-4C28-B11C-D40EFED0C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9415264"/>
        <c:axId val="1279849632"/>
      </c:areaChart>
      <c:lineChart>
        <c:grouping val="standard"/>
        <c:varyColors val="0"/>
        <c:ser>
          <c:idx val="1"/>
          <c:order val="1"/>
          <c:tx>
            <c:v>Costa y Zócalo</c:v>
          </c:tx>
          <c:marker>
            <c:symbol val="diamond"/>
            <c:size val="9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'[1]5'!$W$20:$AH$20</c:f>
              <c:numCache>
                <c:formatCode>General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'11'!$C$31:$N$31</c:f>
              <c:numCache>
                <c:formatCode>#,##0</c:formatCode>
                <c:ptCount val="12"/>
                <c:pt idx="0">
                  <c:v>1605.456441</c:v>
                </c:pt>
                <c:pt idx="1">
                  <c:v>1305.3255928000001</c:v>
                </c:pt>
                <c:pt idx="2">
                  <c:v>1148.4406985000001</c:v>
                </c:pt>
                <c:pt idx="3">
                  <c:v>985.46041300000002</c:v>
                </c:pt>
                <c:pt idx="4">
                  <c:v>1058.3674059999998</c:v>
                </c:pt>
                <c:pt idx="5">
                  <c:v>1244.4902029</c:v>
                </c:pt>
                <c:pt idx="6">
                  <c:v>1384.8747438999999</c:v>
                </c:pt>
                <c:pt idx="7">
                  <c:v>1354.6347494000001</c:v>
                </c:pt>
                <c:pt idx="8">
                  <c:v>1346.1960355000001</c:v>
                </c:pt>
                <c:pt idx="9">
                  <c:v>1427.0111938999999</c:v>
                </c:pt>
                <c:pt idx="10">
                  <c:v>1337.1015992999999</c:v>
                </c:pt>
                <c:pt idx="11">
                  <c:v>1401.0132573999999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A-4C28-B11C-D40EFED0C183}"/>
            </c:ext>
          </c:extLst>
        </c:ser>
        <c:ser>
          <c:idx val="2"/>
          <c:order val="2"/>
          <c:tx>
            <c:v>Selva</c:v>
          </c:tx>
          <c:marker>
            <c:symbol val="circle"/>
            <c:size val="9"/>
            <c:spPr>
              <a:solidFill>
                <a:srgbClr val="C00000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'11'!$C$24:$N$24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'11'!$C$32:$N$32</c:f>
              <c:numCache>
                <c:formatCode>#,##0</c:formatCode>
                <c:ptCount val="12"/>
                <c:pt idx="0">
                  <c:v>35957.884998500005</c:v>
                </c:pt>
                <c:pt idx="1">
                  <c:v>34938.053327900001</c:v>
                </c:pt>
                <c:pt idx="2">
                  <c:v>26854.170542899999</c:v>
                </c:pt>
                <c:pt idx="3">
                  <c:v>22719.904480900004</c:v>
                </c:pt>
                <c:pt idx="4">
                  <c:v>25165.004191300002</c:v>
                </c:pt>
                <c:pt idx="5">
                  <c:v>23738.744820399999</c:v>
                </c:pt>
                <c:pt idx="6">
                  <c:v>40344.271555199994</c:v>
                </c:pt>
                <c:pt idx="7">
                  <c:v>38903.675024800003</c:v>
                </c:pt>
                <c:pt idx="8">
                  <c:v>38943.091035600002</c:v>
                </c:pt>
                <c:pt idx="9">
                  <c:v>37472.667697199999</c:v>
                </c:pt>
                <c:pt idx="10">
                  <c:v>43385.539173800003</c:v>
                </c:pt>
                <c:pt idx="11">
                  <c:v>40805.967292300003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A-4C28-B11C-D40EFED0C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415264"/>
        <c:axId val="1279849632"/>
      </c:lineChart>
      <c:catAx>
        <c:axId val="1279415264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PE"/>
          </a:p>
        </c:txPr>
        <c:crossAx val="1279849632"/>
        <c:crosses val="autoZero"/>
        <c:auto val="1"/>
        <c:lblAlgn val="ctr"/>
        <c:lblOffset val="100"/>
        <c:noMultiLvlLbl val="1"/>
      </c:catAx>
      <c:valAx>
        <c:axId val="1279849632"/>
        <c:scaling>
          <c:orientation val="minMax"/>
          <c:max val="48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PE"/>
                  <a:t>MMPC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PE"/>
          </a:p>
        </c:txPr>
        <c:crossAx val="1279415264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33431450841672022"/>
          <c:y val="0.89790142202575141"/>
          <c:w val="0.36194467176077949"/>
          <c:h val="5.19042519898463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73862642169729"/>
          <c:y val="0.15492814709364675"/>
          <c:w val="0.82870581802274712"/>
          <c:h val="0.752240050606530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'12'!$C$6:$J$6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'12'!$C$22:$J$22</c:f>
              <c:numCache>
                <c:formatCode>#,##0.00</c:formatCode>
                <c:ptCount val="8"/>
                <c:pt idx="0">
                  <c:v>1179.5999999999999</c:v>
                </c:pt>
                <c:pt idx="1">
                  <c:v>1250.4000000000001</c:v>
                </c:pt>
                <c:pt idx="2">
                  <c:v>1208.9000000000001</c:v>
                </c:pt>
                <c:pt idx="3">
                  <c:v>1354.6</c:v>
                </c:pt>
                <c:pt idx="4">
                  <c:v>1252.2</c:v>
                </c:pt>
                <c:pt idx="5">
                  <c:v>1230.8</c:v>
                </c:pt>
                <c:pt idx="6">
                  <c:v>1299.2736301369862</c:v>
                </c:pt>
                <c:pt idx="7">
                  <c:v>1160.7304548480874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92-42B1-8054-1BFE8F12D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848000"/>
        <c:axId val="1279861600"/>
      </c:barChart>
      <c:catAx>
        <c:axId val="127984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es-PE"/>
          </a:p>
        </c:txPr>
        <c:crossAx val="1279861600"/>
        <c:crosses val="autoZero"/>
        <c:auto val="1"/>
        <c:lblAlgn val="ctr"/>
        <c:lblOffset val="100"/>
        <c:noMultiLvlLbl val="0"/>
      </c:catAx>
      <c:valAx>
        <c:axId val="1279861600"/>
        <c:scaling>
          <c:orientation val="minMax"/>
          <c:max val="1400"/>
          <c:min val="1000"/>
        </c:scaling>
        <c:delete val="0"/>
        <c:axPos val="l"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es-PE"/>
          </a:p>
        </c:txPr>
        <c:crossAx val="12798480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'12'!$D$78:$H$78</c:f>
              <c:numCache>
                <c:formatCode>0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'12'!$D$79:$H$79</c:f>
              <c:numCache>
                <c:formatCode>_ * #,##0.0_ ;_ * \-#,##0.0_ ;_ * "-"??_ ;_ @_ </c:formatCode>
                <c:ptCount val="5"/>
                <c:pt idx="0">
                  <c:v>1289.646</c:v>
                </c:pt>
                <c:pt idx="1">
                  <c:v>1347.828</c:v>
                </c:pt>
                <c:pt idx="2">
                  <c:v>1324.5740000000001</c:v>
                </c:pt>
                <c:pt idx="3">
                  <c:v>1308.2059999999999</c:v>
                </c:pt>
                <c:pt idx="4">
                  <c:v>1291.5830000000001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95-4091-AE23-3E0D7FE18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852352"/>
        <c:axId val="1279850720"/>
      </c:barChart>
      <c:catAx>
        <c:axId val="12798523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279850720"/>
        <c:crosses val="autoZero"/>
        <c:auto val="1"/>
        <c:lblAlgn val="ctr"/>
        <c:lblOffset val="100"/>
        <c:noMultiLvlLbl val="0"/>
      </c:catAx>
      <c:valAx>
        <c:axId val="1279850720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1279852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70436649964203E-2"/>
          <c:y val="0.23658573928258966"/>
          <c:w val="0.85873194941541398"/>
          <c:h val="0.647434383202099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'14'!$A$7</c:f>
              <c:strCache>
                <c:ptCount val="1"/>
                <c:pt idx="0">
                  <c:v>EXPLORACIÓN</c:v>
                </c:pt>
              </c:strCache>
            </c:strRef>
          </c:tx>
          <c:spPr>
            <a:solidFill>
              <a:srgbClr val="00CC99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00CC99"/>
              </a:solidFill>
            </c:spPr>
            <c:extLst>
              <c:ext xmlns:c16="http://schemas.microsoft.com/office/drawing/2014/chart" uri="{C3380CC4-5D6E-409C-BE32-E72D297353CC}">
                <c16:uniqueId val="{00000005-DF92-4967-836D-E4EF085BA8F6}"/>
              </c:ext>
            </c:extLst>
          </c:dPt>
          <c:dPt>
            <c:idx val="9"/>
            <c:invertIfNegative val="0"/>
            <c:bubble3D val="0"/>
            <c:spPr>
              <a:solidFill>
                <a:srgbClr val="00CC99"/>
              </a:solidFill>
            </c:spPr>
            <c:extLst>
              <c:ext xmlns:c16="http://schemas.microsoft.com/office/drawing/2014/chart" uri="{C3380CC4-5D6E-409C-BE32-E72D297353CC}">
                <c16:uniqueId val="{00000007-DF92-4967-836D-E4EF085BA8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'14'!$B$6:$I$6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'14'!$B$12:$I$12</c:f>
              <c:numCache>
                <c:formatCode>0</c:formatCode>
                <c:ptCount val="8"/>
                <c:pt idx="0">
                  <c:v>492.44</c:v>
                </c:pt>
                <c:pt idx="1">
                  <c:v>501.76</c:v>
                </c:pt>
                <c:pt idx="2">
                  <c:v>316.69</c:v>
                </c:pt>
                <c:pt idx="3">
                  <c:v>46.95</c:v>
                </c:pt>
                <c:pt idx="4">
                  <c:v>17.079999999999998</c:v>
                </c:pt>
                <c:pt idx="5">
                  <c:v>40.76</c:v>
                </c:pt>
                <c:pt idx="6">
                  <c:v>57.727806999999999</c:v>
                </c:pt>
                <c:pt idx="7">
                  <c:v>61.1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F92-4967-836D-E4EF085BA8F6}"/>
            </c:ext>
          </c:extLst>
        </c:ser>
        <c:ser>
          <c:idx val="1"/>
          <c:order val="1"/>
          <c:tx>
            <c:strRef>
              <c:f>'14'!$A$8</c:f>
              <c:strCache>
                <c:ptCount val="1"/>
                <c:pt idx="0">
                  <c:v>EXPLOTACIÓN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F92-4967-836D-E4EF085BA8F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F92-4967-836D-E4EF085BA8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'14'!$B$6:$I$6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'14'!$B$13:$I$13</c:f>
              <c:numCache>
                <c:formatCode>0</c:formatCode>
                <c:ptCount val="8"/>
                <c:pt idx="0">
                  <c:v>895.41</c:v>
                </c:pt>
                <c:pt idx="1">
                  <c:v>688.01</c:v>
                </c:pt>
                <c:pt idx="2">
                  <c:v>438.23</c:v>
                </c:pt>
                <c:pt idx="3">
                  <c:v>285.69</c:v>
                </c:pt>
                <c:pt idx="4">
                  <c:v>469.79</c:v>
                </c:pt>
                <c:pt idx="5">
                  <c:v>561.16999999999996</c:v>
                </c:pt>
                <c:pt idx="6">
                  <c:v>561.99657999999999</c:v>
                </c:pt>
                <c:pt idx="7">
                  <c:v>184.55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F92-4967-836D-E4EF085BA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190368"/>
        <c:axId val="1282192544"/>
      </c:barChart>
      <c:catAx>
        <c:axId val="128219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2192544"/>
        <c:crosses val="autoZero"/>
        <c:auto val="1"/>
        <c:lblAlgn val="ctr"/>
        <c:lblOffset val="100"/>
        <c:noMultiLvlLbl val="0"/>
      </c:catAx>
      <c:valAx>
        <c:axId val="128219254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12821903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4916783583870203"/>
          <c:y val="0.12037037037037036"/>
          <c:w val="0.32105826771653545"/>
          <c:h val="6.9302639253426654E-2"/>
        </c:manualLayout>
      </c:layout>
      <c:overlay val="0"/>
      <c:txPr>
        <a:bodyPr/>
        <a:lstStyle/>
        <a:p>
          <a:pPr>
            <a:defRPr b="1"/>
          </a:pPr>
          <a:endParaRPr lang="es-P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70436649964203E-2"/>
          <c:y val="0.23658573928258966"/>
          <c:w val="0.85873194941541398"/>
          <c:h val="0.647434383202099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'15'!$A$7</c:f>
              <c:strCache>
                <c:ptCount val="1"/>
                <c:pt idx="0">
                  <c:v>EXPLORACIÓN</c:v>
                </c:pt>
              </c:strCache>
            </c:strRef>
          </c:tx>
          <c:spPr>
            <a:solidFill>
              <a:srgbClr val="00CC99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00CC99"/>
              </a:solidFill>
            </c:spPr>
            <c:extLst>
              <c:ext xmlns:c16="http://schemas.microsoft.com/office/drawing/2014/chart" uri="{C3380CC4-5D6E-409C-BE32-E72D297353CC}">
                <c16:uniqueId val="{00000001-490C-496C-B309-3017DE319368}"/>
              </c:ext>
            </c:extLst>
          </c:dPt>
          <c:dPt>
            <c:idx val="7"/>
            <c:invertIfNegative val="0"/>
            <c:bubble3D val="0"/>
            <c:spPr>
              <a:solidFill>
                <a:srgbClr val="00CC99"/>
              </a:solidFill>
            </c:spPr>
            <c:extLst>
              <c:ext xmlns:c16="http://schemas.microsoft.com/office/drawing/2014/chart" uri="{C3380CC4-5D6E-409C-BE32-E72D297353CC}">
                <c16:uniqueId val="{00000003-490C-496C-B309-3017DE319368}"/>
              </c:ext>
            </c:extLst>
          </c:dPt>
          <c:dPt>
            <c:idx val="8"/>
            <c:invertIfNegative val="0"/>
            <c:bubble3D val="0"/>
            <c:spPr>
              <a:solidFill>
                <a:srgbClr val="00CC99"/>
              </a:solidFill>
            </c:spPr>
            <c:extLst>
              <c:ext xmlns:c16="http://schemas.microsoft.com/office/drawing/2014/chart" uri="{C3380CC4-5D6E-409C-BE32-E72D297353CC}">
                <c16:uniqueId val="{00000005-490C-496C-B309-3017DE319368}"/>
              </c:ext>
            </c:extLst>
          </c:dPt>
          <c:dPt>
            <c:idx val="9"/>
            <c:invertIfNegative val="0"/>
            <c:bubble3D val="0"/>
            <c:spPr>
              <a:solidFill>
                <a:srgbClr val="00CC99"/>
              </a:solidFill>
            </c:spPr>
            <c:extLst>
              <c:ext xmlns:c16="http://schemas.microsoft.com/office/drawing/2014/chart" uri="{C3380CC4-5D6E-409C-BE32-E72D297353CC}">
                <c16:uniqueId val="{00000007-490C-496C-B309-3017DE319368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0C-496C-B309-3017DE3193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'15'!$B$6:$F$6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'15'!$B$7:$F$7</c:f>
              <c:numCache>
                <c:formatCode>0</c:formatCode>
                <c:ptCount val="5"/>
                <c:pt idx="0">
                  <c:v>16.963000000000001</c:v>
                </c:pt>
                <c:pt idx="1">
                  <c:v>66.784999999999997</c:v>
                </c:pt>
                <c:pt idx="2">
                  <c:v>121</c:v>
                </c:pt>
                <c:pt idx="3">
                  <c:v>0</c:v>
                </c:pt>
                <c:pt idx="4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90C-496C-B309-3017DE319368}"/>
            </c:ext>
          </c:extLst>
        </c:ser>
        <c:ser>
          <c:idx val="1"/>
          <c:order val="1"/>
          <c:tx>
            <c:strRef>
              <c:f>'15'!$A$8</c:f>
              <c:strCache>
                <c:ptCount val="1"/>
                <c:pt idx="0">
                  <c:v>EXPLOTACIÓN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90C-496C-B309-3017DE31936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90C-496C-B309-3017DE31936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90C-496C-B309-3017DE31936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90C-496C-B309-3017DE31936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90C-496C-B309-3017DE3193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'15'!$B$6:$F$6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'15'!$B$8:$F$8</c:f>
              <c:numCache>
                <c:formatCode>0</c:formatCode>
                <c:ptCount val="5"/>
                <c:pt idx="0">
                  <c:v>332.28940114226157</c:v>
                </c:pt>
                <c:pt idx="1">
                  <c:v>396.44519236439993</c:v>
                </c:pt>
                <c:pt idx="2">
                  <c:v>577.46320296162821</c:v>
                </c:pt>
                <c:pt idx="3">
                  <c:v>685.69358269175427</c:v>
                </c:pt>
                <c:pt idx="4">
                  <c:v>728.45992444666683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90C-496C-B309-3017DE319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190368"/>
        <c:axId val="1282192544"/>
      </c:barChart>
      <c:catAx>
        <c:axId val="128219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2192544"/>
        <c:crosses val="autoZero"/>
        <c:auto val="1"/>
        <c:lblAlgn val="ctr"/>
        <c:lblOffset val="100"/>
        <c:noMultiLvlLbl val="0"/>
      </c:catAx>
      <c:valAx>
        <c:axId val="128219254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12821903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4916783583870203"/>
          <c:y val="0.12037037037037036"/>
          <c:w val="0.32105826771653545"/>
          <c:h val="6.9302639253426654E-2"/>
        </c:manualLayout>
      </c:layout>
      <c:overlay val="0"/>
      <c:txPr>
        <a:bodyPr/>
        <a:lstStyle/>
        <a:p>
          <a:pPr>
            <a:defRPr b="1"/>
          </a:pPr>
          <a:endParaRPr lang="es-P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18812318126465"/>
          <c:y val="0.2130551214891945"/>
          <c:w val="0.81462248468941378"/>
          <c:h val="0.689101049868766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'18'!$B$6:$I$6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'18'!$B$11:$I$11</c:f>
              <c:numCache>
                <c:formatCode>_(* #,##0.00_);_(* \(#,##0.00\);_(* "-"??_);_(@_)</c:formatCode>
                <c:ptCount val="8"/>
                <c:pt idx="0">
                  <c:v>2020.94</c:v>
                </c:pt>
                <c:pt idx="1">
                  <c:v>1690.63</c:v>
                </c:pt>
                <c:pt idx="2">
                  <c:v>768.96140000000003</c:v>
                </c:pt>
                <c:pt idx="3">
                  <c:v>660.25459999999998</c:v>
                </c:pt>
                <c:pt idx="4">
                  <c:v>828.83</c:v>
                </c:pt>
                <c:pt idx="5">
                  <c:v>1092.93</c:v>
                </c:pt>
                <c:pt idx="6">
                  <c:v>837.19</c:v>
                </c:pt>
                <c:pt idx="7">
                  <c:v>538.28599800000006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A4-4919-8F89-D72056658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0975360"/>
        <c:axId val="1280975904"/>
      </c:barChart>
      <c:catAx>
        <c:axId val="128097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0975904"/>
        <c:crosses val="autoZero"/>
        <c:auto val="1"/>
        <c:lblAlgn val="ctr"/>
        <c:lblOffset val="100"/>
        <c:noMultiLvlLbl val="0"/>
      </c:catAx>
      <c:valAx>
        <c:axId val="128097590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crossAx val="12809753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15-4F94-AAAC-7C375696274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15-4F94-AAAC-7C375696274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15-4F94-AAAC-7C375696274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715-4F94-AAAC-7C375696274A}"/>
              </c:ext>
            </c:extLst>
          </c:dPt>
          <c:dLbls>
            <c:dLbl>
              <c:idx val="0"/>
              <c:layout>
                <c:manualLayout>
                  <c:x val="0.13171905074365703"/>
                  <c:y val="-0.3430311315252260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15-4F94-AAAC-7C375696274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15-4F94-AAAC-7C375696274A}"/>
                </c:ext>
              </c:extLst>
            </c:dLbl>
            <c:dLbl>
              <c:idx val="2"/>
              <c:layout>
                <c:manualLayout>
                  <c:x val="-1.0349300087489063E-2"/>
                  <c:y val="6.8168562263050452E-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15-4F94-AAAC-7C375696274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"/>
                    <a:ea typeface="+mn-ea"/>
                    <a:cs typeface="+mn-cs"/>
                  </a:defRPr>
                </a:pPr>
                <a:endParaRPr lang="es-PE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biodiesel!$I$3:$I$6</c:f>
              <c:strCache>
                <c:ptCount val="4"/>
                <c:pt idx="0">
                  <c:v>Argentina</c:v>
                </c:pt>
                <c:pt idx="1">
                  <c:v>Alemania</c:v>
                </c:pt>
                <c:pt idx="2">
                  <c:v>Indonesia</c:v>
                </c:pt>
                <c:pt idx="3">
                  <c:v>España</c:v>
                </c:pt>
              </c:strCache>
            </c:strRef>
          </c:cat>
          <c:val>
            <c:numRef>
              <c:f>biodiesel!$J$3:$J$6</c:f>
              <c:numCache>
                <c:formatCode>_-* #,##0.000_-;\-* #,##0.000_-;_-* "-"??_-;_-@_-</c:formatCode>
                <c:ptCount val="4"/>
                <c:pt idx="0" formatCode="_(* #,##0.00_);_(* \(#,##0.00\);_(* &quot;-&quot;??_);_(@_)">
                  <c:v>1723.8168826560004</c:v>
                </c:pt>
                <c:pt idx="1">
                  <c:v>6.4053000000000005E-4</c:v>
                </c:pt>
                <c:pt idx="2" formatCode="_(* #,##0.00_);_(* \(#,##0.00\);_(* &quot;-&quot;??_);_(@_)">
                  <c:v>250.88100403300001</c:v>
                </c:pt>
                <c:pt idx="3" formatCode="_(* #,##0.00_);_(* \(#,##0.00\);_(* &quot;-&quot;??_);_(@_)">
                  <c:v>92.010554525999993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15-4F94-AAAC-7C3756962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EE5-4036-8F5D-82BD9E59E0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EE5-4036-8F5D-82BD9E59E0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EE5-4036-8F5D-82BD9E59E0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EE5-4036-8F5D-82BD9E59E0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EE5-4036-8F5D-82BD9E59E065}"/>
              </c:ext>
            </c:extLst>
          </c:dPt>
          <c:dLbls>
            <c:dLbl>
              <c:idx val="0"/>
              <c:layout>
                <c:manualLayout>
                  <c:x val="-4.6272910674662587E-3"/>
                  <c:y val="-8.364821183719864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E5-4036-8F5D-82BD9E59E065}"/>
                </c:ext>
              </c:extLst>
            </c:dLbl>
            <c:dLbl>
              <c:idx val="4"/>
              <c:layout>
                <c:manualLayout>
                  <c:x val="-3.1111080376268783E-2"/>
                  <c:y val="8.055088507013495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E5-4036-8F5D-82BD9E59E0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"/>
                    <a:ea typeface="+mn-ea"/>
                    <a:cs typeface="+mn-cs"/>
                  </a:defRPr>
                </a:pPr>
                <a:endParaRPr lang="es-PE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biodiesel!$N$3:$N$7</c:f>
              <c:strCache>
                <c:ptCount val="5"/>
                <c:pt idx="0">
                  <c:v>Argentina</c:v>
                </c:pt>
                <c:pt idx="1">
                  <c:v>Ecuador</c:v>
                </c:pt>
                <c:pt idx="2">
                  <c:v>Indonesia</c:v>
                </c:pt>
                <c:pt idx="3">
                  <c:v>Malasia</c:v>
                </c:pt>
                <c:pt idx="4">
                  <c:v>Canadá</c:v>
                </c:pt>
              </c:strCache>
            </c:strRef>
          </c:cat>
          <c:val>
            <c:numRef>
              <c:f>biodiesel!$O$3:$O$7</c:f>
              <c:numCache>
                <c:formatCode>_(* #,##0.00_);_(* \(#,##0.00\);_(* "-"??_);_(@_)</c:formatCode>
                <c:ptCount val="5"/>
                <c:pt idx="0">
                  <c:v>1208.6645807059999</c:v>
                </c:pt>
                <c:pt idx="1">
                  <c:v>115.08123523600001</c:v>
                </c:pt>
                <c:pt idx="2">
                  <c:v>118.586848809</c:v>
                </c:pt>
                <c:pt idx="3">
                  <c:v>12.368513311000001</c:v>
                </c:pt>
                <c:pt idx="4">
                  <c:v>612.59339792200012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E5-4036-8F5D-82BD9E59E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47B-43A7-A5AD-9438D14DC0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47B-43A7-A5AD-9438D14DC0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47B-43A7-A5AD-9438D14DC0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47B-43A7-A5AD-9438D14DC0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47B-43A7-A5AD-9438D14DC0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47B-43A7-A5AD-9438D14DC090}"/>
              </c:ext>
            </c:extLst>
          </c:dPt>
          <c:dLbls>
            <c:dLbl>
              <c:idx val="2"/>
              <c:layout>
                <c:manualLayout>
                  <c:x val="0.12237116464432551"/>
                  <c:y val="-0.15374275184758246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7B-43A7-A5AD-9438D14DC090}"/>
                </c:ext>
              </c:extLst>
            </c:dLbl>
            <c:dLbl>
              <c:idx val="3"/>
              <c:layout>
                <c:manualLayout>
                  <c:x val="-6.3559608059198608E-2"/>
                  <c:y val="-4.948149723181198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7B-43A7-A5AD-9438D14DC090}"/>
                </c:ext>
              </c:extLst>
            </c:dLbl>
            <c:dLbl>
              <c:idx val="4"/>
              <c:layout>
                <c:manualLayout>
                  <c:x val="-1.141660626926105E-2"/>
                  <c:y val="8.976312932313197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7B-43A7-A5AD-9438D14DC09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"/>
                    <a:ea typeface="+mn-ea"/>
                    <a:cs typeface="+mn-cs"/>
                  </a:defRPr>
                </a:pPr>
                <a:endParaRPr lang="es-PE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biodiesel!$I$33:$I$38</c:f>
              <c:strCache>
                <c:ptCount val="6"/>
                <c:pt idx="0">
                  <c:v>Argentina</c:v>
                </c:pt>
                <c:pt idx="1">
                  <c:v>Alemania</c:v>
                </c:pt>
                <c:pt idx="2">
                  <c:v>Indonesia</c:v>
                </c:pt>
                <c:pt idx="3">
                  <c:v>España</c:v>
                </c:pt>
                <c:pt idx="4">
                  <c:v>Canadá</c:v>
                </c:pt>
                <c:pt idx="5">
                  <c:v>Estados Unidos</c:v>
                </c:pt>
              </c:strCache>
            </c:strRef>
          </c:cat>
          <c:val>
            <c:numRef>
              <c:f>biodiesel!$J$33:$J$38</c:f>
              <c:numCache>
                <c:formatCode>_(* #,##0.00_);_(* \(#,##0.00\);_(* "-"??_);_(@_)</c:formatCode>
                <c:ptCount val="6"/>
                <c:pt idx="0">
                  <c:v>332.471060669</c:v>
                </c:pt>
                <c:pt idx="1">
                  <c:v>12.813389863999999</c:v>
                </c:pt>
                <c:pt idx="2">
                  <c:v>999.42726453900002</c:v>
                </c:pt>
                <c:pt idx="3">
                  <c:v>134.741200451</c:v>
                </c:pt>
                <c:pt idx="4">
                  <c:v>466.98340686800009</c:v>
                </c:pt>
                <c:pt idx="5">
                  <c:v>1.1885390000000001E-2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47B-43A7-A5AD-9438D14DC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7199392311913"/>
          <c:y val="0.10803472980449096"/>
          <c:w val="0.79016764728363109"/>
          <c:h val="0.66530512844780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3B7-42AE-835F-E5469A3EDA25}"/>
              </c:ext>
            </c:extLst>
          </c:dPt>
          <c:dPt>
            <c:idx val="6"/>
            <c:invertIfNegative val="0"/>
            <c:bubble3D val="0"/>
            <c:spPr>
              <a:solidFill>
                <a:srgbClr val="00CC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3B7-42AE-835F-E5469A3EDA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'02'!$J$27:$J$33</c:f>
              <c:strCache>
                <c:ptCount val="7"/>
                <c:pt idx="0">
                  <c:v>Acum. (2017-2020)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Acum. (2021-2025)</c:v>
                </c:pt>
              </c:strCache>
            </c:strRef>
          </c:cat>
          <c:val>
            <c:numRef>
              <c:f>'02'!$L$27:$L$33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4500</c:v>
                </c:pt>
                <c:pt idx="4">
                  <c:v>0</c:v>
                </c:pt>
                <c:pt idx="5">
                  <c:v>0</c:v>
                </c:pt>
                <c:pt idx="6">
                  <c:v>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B7-42AE-835F-E5469A3ED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9302383"/>
        <c:axId val="789307375"/>
      </c:barChart>
      <c:catAx>
        <c:axId val="7893023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789307375"/>
        <c:crosses val="autoZero"/>
        <c:auto val="1"/>
        <c:lblAlgn val="ctr"/>
        <c:lblOffset val="100"/>
        <c:noMultiLvlLbl val="0"/>
      </c:catAx>
      <c:valAx>
        <c:axId val="789307375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789302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FE-4DC2-BD18-F4DE1E8674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1FE-4DC2-BD18-F4DE1E8674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1FE-4DC2-BD18-F4DE1E86741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1FE-4DC2-BD18-F4DE1E86741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1FE-4DC2-BD18-F4DE1E86741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1FE-4DC2-BD18-F4DE1E86741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1FE-4DC2-BD18-F4DE1E867415}"/>
              </c:ext>
            </c:extLst>
          </c:dPt>
          <c:dLbls>
            <c:dLbl>
              <c:idx val="0"/>
              <c:layout>
                <c:manualLayout>
                  <c:x val="1.3955155158543965E-2"/>
                  <c:y val="7.136012221824958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FE-4DC2-BD18-F4DE1E867415}"/>
                </c:ext>
              </c:extLst>
            </c:dLbl>
            <c:dLbl>
              <c:idx val="1"/>
              <c:layout>
                <c:manualLayout>
                  <c:x val="-1.7908871513610935E-2"/>
                  <c:y val="-1.52754607396446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FE-4DC2-BD18-F4DE1E867415}"/>
                </c:ext>
              </c:extLst>
            </c:dLbl>
            <c:dLbl>
              <c:idx val="2"/>
              <c:layout>
                <c:manualLayout>
                  <c:x val="-0.17197479183279824"/>
                  <c:y val="-8.958800129034043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FE-4DC2-BD18-F4DE1E867415}"/>
                </c:ext>
              </c:extLst>
            </c:dLbl>
            <c:dLbl>
              <c:idx val="3"/>
              <c:layout>
                <c:manualLayout>
                  <c:x val="-3.1420412802419667E-2"/>
                  <c:y val="4.4513832201858181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FE-4DC2-BD18-F4DE1E867415}"/>
                </c:ext>
              </c:extLst>
            </c:dLbl>
            <c:dLbl>
              <c:idx val="4"/>
              <c:layout>
                <c:manualLayout>
                  <c:x val="-7.1910964281136025E-2"/>
                  <c:y val="4.786711532454027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1FE-4DC2-BD18-F4DE1E8674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"/>
                    <a:ea typeface="+mn-ea"/>
                    <a:cs typeface="+mn-cs"/>
                  </a:defRPr>
                </a:pPr>
                <a:endParaRPr lang="es-PE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biodiesel!$N$33:$N$39</c:f>
              <c:strCache>
                <c:ptCount val="7"/>
                <c:pt idx="0">
                  <c:v>Argentina</c:v>
                </c:pt>
                <c:pt idx="1">
                  <c:v>Indonesia</c:v>
                </c:pt>
                <c:pt idx="2">
                  <c:v>España</c:v>
                </c:pt>
                <c:pt idx="3">
                  <c:v>Malasia</c:v>
                </c:pt>
                <c:pt idx="4">
                  <c:v>Canadá</c:v>
                </c:pt>
                <c:pt idx="5">
                  <c:v>China</c:v>
                </c:pt>
                <c:pt idx="6">
                  <c:v>Japón</c:v>
                </c:pt>
              </c:strCache>
            </c:strRef>
          </c:cat>
          <c:val>
            <c:numRef>
              <c:f>biodiesel!$O$33:$O$39</c:f>
              <c:numCache>
                <c:formatCode>_(* #,##0.00_);_(* \(#,##0.00\);_(* "-"??_);_(@_)</c:formatCode>
                <c:ptCount val="7"/>
                <c:pt idx="0">
                  <c:v>169.125477147</c:v>
                </c:pt>
                <c:pt idx="1">
                  <c:v>347.69025274499995</c:v>
                </c:pt>
                <c:pt idx="2">
                  <c:v>365.25615458200002</c:v>
                </c:pt>
                <c:pt idx="3">
                  <c:v>322.20955655900002</c:v>
                </c:pt>
                <c:pt idx="4">
                  <c:v>135.643301552</c:v>
                </c:pt>
                <c:pt idx="5">
                  <c:v>48.965543594000003</c:v>
                </c:pt>
                <c:pt idx="6">
                  <c:v>4.9918638000000001E-2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1FE-4DC2-BD18-F4DE1E867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F08-4717-94EE-8E604F9E19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F08-4717-94EE-8E604F9E19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F08-4717-94EE-8E604F9E1956}"/>
              </c:ext>
            </c:extLst>
          </c:dPt>
          <c:dLbls>
            <c:dLbl>
              <c:idx val="0"/>
              <c:layout>
                <c:manualLayout>
                  <c:x val="5.7173859686316074E-2"/>
                  <c:y val="-0.3484742015654480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08-4717-94EE-8E604F9E1956}"/>
                </c:ext>
              </c:extLst>
            </c:dLbl>
            <c:dLbl>
              <c:idx val="1"/>
              <c:layout>
                <c:manualLayout>
                  <c:x val="-4.5900308052572265E-3"/>
                  <c:y val="-1.5937743258663012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08-4717-94EE-8E604F9E1956}"/>
                </c:ext>
              </c:extLst>
            </c:dLbl>
            <c:dLbl>
              <c:idx val="2"/>
              <c:layout>
                <c:manualLayout>
                  <c:x val="-3.2430878085041338E-3"/>
                  <c:y val="5.369258003278280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08-4717-94EE-8E604F9E19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"/>
                    <a:ea typeface="+mn-ea"/>
                    <a:cs typeface="+mn-cs"/>
                  </a:defRPr>
                </a:pPr>
                <a:endParaRPr lang="es-PE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biodiesel!$R$33:$R$35</c:f>
              <c:strCache>
                <c:ptCount val="3"/>
                <c:pt idx="0">
                  <c:v>España</c:v>
                </c:pt>
                <c:pt idx="1">
                  <c:v>China</c:v>
                </c:pt>
                <c:pt idx="2">
                  <c:v>Bélgica</c:v>
                </c:pt>
              </c:strCache>
            </c:strRef>
          </c:cat>
          <c:val>
            <c:numRef>
              <c:f>biodiesel!$S$33:$S$35</c:f>
              <c:numCache>
                <c:formatCode>_(* #,##0.00_);_(* \(#,##0.00\);_(* "-"??_);_(@_)</c:formatCode>
                <c:ptCount val="3"/>
                <c:pt idx="0">
                  <c:v>740.83669908599995</c:v>
                </c:pt>
                <c:pt idx="1">
                  <c:v>99.481475818999996</c:v>
                </c:pt>
                <c:pt idx="2">
                  <c:v>165.44922638200001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08-4717-94EE-8E604F9E1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48-4FDC-AF35-76E1935312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48-4FDC-AF35-76E1935312E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048-4FDC-AF35-76E1935312E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048-4FDC-AF35-76E1935312E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048-4FDC-AF35-76E1935312E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048-4FDC-AF35-76E1935312EA}"/>
              </c:ext>
            </c:extLst>
          </c:dPt>
          <c:dLbls>
            <c:dLbl>
              <c:idx val="0"/>
              <c:layout>
                <c:manualLayout>
                  <c:x val="-2.0182676434566543E-2"/>
                  <c:y val="-0.2406018870136556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48-4FDC-AF35-76E1935312EA}"/>
                </c:ext>
              </c:extLst>
            </c:dLbl>
            <c:dLbl>
              <c:idx val="1"/>
              <c:layout>
                <c:manualLayout>
                  <c:x val="5.9638094479226422E-3"/>
                  <c:y val="-8.372285060377300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48-4FDC-AF35-76E1935312EA}"/>
                </c:ext>
              </c:extLst>
            </c:dLbl>
            <c:dLbl>
              <c:idx val="2"/>
              <c:layout>
                <c:manualLayout>
                  <c:x val="-1.9911739624874802E-2"/>
                  <c:y val="7.304440970202019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48-4FDC-AF35-76E1935312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biodiesel!$I$63:$I$68</c:f>
              <c:strCache>
                <c:ptCount val="3"/>
                <c:pt idx="0">
                  <c:v>España</c:v>
                </c:pt>
                <c:pt idx="1">
                  <c:v>Malasia</c:v>
                </c:pt>
                <c:pt idx="2">
                  <c:v>Países Bajos</c:v>
                </c:pt>
              </c:strCache>
            </c:strRef>
          </c:cat>
          <c:val>
            <c:numRef>
              <c:f>biodiesel!$J$63:$J$68</c:f>
              <c:numCache>
                <c:formatCode>_(* #,##0.00_);_(* \(#,##0.00\);_(* "-"??_);_(@_)</c:formatCode>
                <c:ptCount val="6"/>
                <c:pt idx="0">
                  <c:v>418.72077377900001</c:v>
                </c:pt>
                <c:pt idx="1">
                  <c:v>153.943521215</c:v>
                </c:pt>
                <c:pt idx="2">
                  <c:v>123.56968825300001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048-4FDC-AF35-76E193531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23C-4B25-8C74-48E53F06325A}"/>
              </c:ext>
            </c:extLst>
          </c:dPt>
          <c:dPt>
            <c:idx val="1"/>
            <c:bubble3D val="0"/>
            <c:spPr>
              <a:solidFill>
                <a:srgbClr val="00CC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23C-4B25-8C74-48E53F06325A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23C-4B25-8C74-48E53F06325A}"/>
              </c:ext>
            </c:extLst>
          </c:dPt>
          <c:dLbls>
            <c:dLbl>
              <c:idx val="0"/>
              <c:layout>
                <c:manualLayout>
                  <c:x val="8.611111111111111E-2"/>
                  <c:y val="-9.259259259259258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3C-4B25-8C74-48E53F06325A}"/>
                </c:ext>
              </c:extLst>
            </c:dLbl>
            <c:dLbl>
              <c:idx val="1"/>
              <c:layout>
                <c:manualLayout>
                  <c:x val="0.14166666666666677"/>
                  <c:y val="-6.48148148148147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3C-4B25-8C74-48E53F06325A}"/>
                </c:ext>
              </c:extLst>
            </c:dLbl>
            <c:dLbl>
              <c:idx val="2"/>
              <c:layout>
                <c:manualLayout>
                  <c:x val="-0.15555555555555556"/>
                  <c:y val="-2.777777777777777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23C-4B25-8C74-48E53F0632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'04'!$J$10:$J$12</c:f>
              <c:strCache>
                <c:ptCount val="3"/>
                <c:pt idx="0">
                  <c:v>Selva Central</c:v>
                </c:pt>
                <c:pt idx="1">
                  <c:v>Noroeste</c:v>
                </c:pt>
                <c:pt idx="2">
                  <c:v>Zócalo</c:v>
                </c:pt>
              </c:strCache>
            </c:strRef>
          </c:cat>
          <c:val>
            <c:numRef>
              <c:f>'04'!$K$10:$K$12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3C-4B25-8C74-48E53F063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9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7199392311913"/>
          <c:y val="0.10803472980449096"/>
          <c:w val="0.79016764728363109"/>
          <c:h val="0.66530512844780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CC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7D1-4736-BA86-E5F2B1F565B7}"/>
              </c:ext>
            </c:extLst>
          </c:dPt>
          <c:dPt>
            <c:idx val="6"/>
            <c:invertIfNegative val="0"/>
            <c:bubble3D val="0"/>
            <c:spPr>
              <a:solidFill>
                <a:srgbClr val="00CC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7D1-4736-BA86-E5F2B1F565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'02'!$J$27:$J$33</c:f>
              <c:strCache>
                <c:ptCount val="7"/>
                <c:pt idx="0">
                  <c:v>Acum. (2017-2020)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Acum. (2021-2025)</c:v>
                </c:pt>
              </c:strCache>
            </c:strRef>
          </c:cat>
          <c:val>
            <c:numRef>
              <c:f>'06'!$C$39:$C$45</c:f>
              <c:numCache>
                <c:formatCode>#,##0</c:formatCode>
                <c:ptCount val="7"/>
                <c:pt idx="0">
                  <c:v>530</c:v>
                </c:pt>
                <c:pt idx="1">
                  <c:v>89</c:v>
                </c:pt>
                <c:pt idx="2">
                  <c:v>76</c:v>
                </c:pt>
                <c:pt idx="3">
                  <c:v>68</c:v>
                </c:pt>
                <c:pt idx="4">
                  <c:v>63</c:v>
                </c:pt>
                <c:pt idx="5">
                  <c:v>63</c:v>
                </c:pt>
                <c:pt idx="6">
                  <c:v>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D1-4736-BA86-E5F2B1F56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9302383"/>
        <c:axId val="789307375"/>
      </c:barChart>
      <c:catAx>
        <c:axId val="7893023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789307375"/>
        <c:crosses val="autoZero"/>
        <c:auto val="1"/>
        <c:lblAlgn val="ctr"/>
        <c:lblOffset val="100"/>
        <c:noMultiLvlLbl val="0"/>
      </c:catAx>
      <c:valAx>
        <c:axId val="789307375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789302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CC99"/>
              </a:solidFill>
            </c:spPr>
            <c:extLst>
              <c:ext xmlns:c16="http://schemas.microsoft.com/office/drawing/2014/chart" uri="{C3380CC4-5D6E-409C-BE32-E72D297353CC}">
                <c16:uniqueId val="{00000000-4A8B-448F-A0A8-337F92305594}"/>
              </c:ext>
            </c:extLst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A8B-448F-A0A8-337F92305594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A8B-448F-A0A8-337F92305594}"/>
              </c:ext>
            </c:extLst>
          </c:dPt>
          <c:dLbls>
            <c:dLbl>
              <c:idx val="0"/>
              <c:layout>
                <c:manualLayout>
                  <c:x val="0.13808216795044023"/>
                  <c:y val="-0.18276349725379126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8B-448F-A0A8-337F92305594}"/>
                </c:ext>
              </c:extLst>
            </c:dLbl>
            <c:dLbl>
              <c:idx val="1"/>
              <c:layout>
                <c:manualLayout>
                  <c:x val="0.18410955726725362"/>
                  <c:y val="0.1208097693711501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8B-448F-A0A8-337F92305594}"/>
                </c:ext>
              </c:extLst>
            </c:dLbl>
            <c:dLbl>
              <c:idx val="2"/>
              <c:layout>
                <c:manualLayout>
                  <c:x val="-0.17643832571445139"/>
                  <c:y val="-0.2261311067716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8B-448F-A0A8-337F923055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'[1]2'!$W$8:$W$10</c:f>
              <c:strCache>
                <c:ptCount val="3"/>
                <c:pt idx="0">
                  <c:v>Costa</c:v>
                </c:pt>
                <c:pt idx="1">
                  <c:v>Zócalo</c:v>
                </c:pt>
                <c:pt idx="2">
                  <c:v>Selva</c:v>
                </c:pt>
              </c:strCache>
            </c:strRef>
          </c:cat>
          <c:val>
            <c:numRef>
              <c:f>'08'!$L$10:$L$12</c:f>
              <c:numCache>
                <c:formatCode>General</c:formatCode>
                <c:ptCount val="3"/>
                <c:pt idx="0">
                  <c:v>11</c:v>
                </c:pt>
                <c:pt idx="1">
                  <c:v>3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8B-448F-A0A8-337F92305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txPr>
    <a:bodyPr/>
    <a:lstStyle/>
    <a:p>
      <a:pPr>
        <a:defRPr sz="1050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v>PETRÓLEO</c:v>
          </c:tx>
          <c:spPr>
            <a:solidFill>
              <a:srgbClr val="00CC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'09'!$C$6:$N$6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'09'!$C$33:$N$33</c:f>
              <c:numCache>
                <c:formatCode>#,##0</c:formatCode>
                <c:ptCount val="12"/>
                <c:pt idx="0">
                  <c:v>1853913</c:v>
                </c:pt>
                <c:pt idx="1">
                  <c:v>1773624</c:v>
                </c:pt>
                <c:pt idx="2">
                  <c:v>1566561</c:v>
                </c:pt>
                <c:pt idx="3">
                  <c:v>1374024</c:v>
                </c:pt>
                <c:pt idx="4">
                  <c:v>977957</c:v>
                </c:pt>
                <c:pt idx="5">
                  <c:v>898212</c:v>
                </c:pt>
                <c:pt idx="6">
                  <c:v>1076668</c:v>
                </c:pt>
                <c:pt idx="7">
                  <c:v>967626</c:v>
                </c:pt>
                <c:pt idx="8">
                  <c:v>874950</c:v>
                </c:pt>
                <c:pt idx="9">
                  <c:v>1173396</c:v>
                </c:pt>
                <c:pt idx="10">
                  <c:v>1004529</c:v>
                </c:pt>
                <c:pt idx="11">
                  <c:v>980380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9-4077-AA9C-D7BCC3B877E7}"/>
            </c:ext>
          </c:extLst>
        </c:ser>
        <c:ser>
          <c:idx val="1"/>
          <c:order val="1"/>
          <c:tx>
            <c:v>LGN</c:v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cat>
            <c:strRef>
              <c:f>'09'!$C$6:$N$6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'09'!$C$45:$N$45</c:f>
              <c:numCache>
                <c:formatCode>#,##0</c:formatCode>
                <c:ptCount val="12"/>
                <c:pt idx="0">
                  <c:v>2679363</c:v>
                </c:pt>
                <c:pt idx="1">
                  <c:v>2619534</c:v>
                </c:pt>
                <c:pt idx="2">
                  <c:v>2242119</c:v>
                </c:pt>
                <c:pt idx="3">
                  <c:v>2214215</c:v>
                </c:pt>
                <c:pt idx="4">
                  <c:v>2448464</c:v>
                </c:pt>
                <c:pt idx="5">
                  <c:v>2524087</c:v>
                </c:pt>
                <c:pt idx="6">
                  <c:v>2748149</c:v>
                </c:pt>
                <c:pt idx="7">
                  <c:v>2746804</c:v>
                </c:pt>
                <c:pt idx="8">
                  <c:v>2725268</c:v>
                </c:pt>
                <c:pt idx="9">
                  <c:v>2608702</c:v>
                </c:pt>
                <c:pt idx="10">
                  <c:v>2712685</c:v>
                </c:pt>
                <c:pt idx="11">
                  <c:v>2820353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39-4077-AA9C-D7BCC3B87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9068640"/>
        <c:axId val="1279054496"/>
      </c:areaChart>
      <c:catAx>
        <c:axId val="1279068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79054496"/>
        <c:crosses val="autoZero"/>
        <c:auto val="1"/>
        <c:lblAlgn val="ctr"/>
        <c:lblOffset val="100"/>
        <c:noMultiLvlLbl val="0"/>
      </c:catAx>
      <c:valAx>
        <c:axId val="127905449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279068640"/>
        <c:crosses val="autoZero"/>
        <c:crossBetween val="midCat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45888013998249"/>
          <c:y val="0"/>
          <c:w val="0.60131014873140853"/>
          <c:h val="1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DCF1-46B7-8C24-93A561AC9C27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DCF1-46B7-8C24-93A561AC9C27}"/>
              </c:ext>
            </c:extLst>
          </c:dPt>
          <c:dPt>
            <c:idx val="2"/>
            <c:bubble3D val="0"/>
            <c:spPr>
              <a:solidFill>
                <a:srgbClr val="00CC99"/>
              </a:solidFill>
            </c:spPr>
            <c:extLst>
              <c:ext xmlns:c16="http://schemas.microsoft.com/office/drawing/2014/chart" uri="{C3380CC4-5D6E-409C-BE32-E72D297353CC}">
                <c16:uniqueId val="{00000002-DCF1-46B7-8C24-93A561AC9C27}"/>
              </c:ext>
            </c:extLst>
          </c:dPt>
          <c:dLbls>
            <c:dLbl>
              <c:idx val="0"/>
              <c:layout>
                <c:manualLayout>
                  <c:x val="0.13332417955056036"/>
                  <c:y val="3.986892854295076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F1-46B7-8C24-93A561AC9C27}"/>
                </c:ext>
              </c:extLst>
            </c:dLbl>
            <c:dLbl>
              <c:idx val="1"/>
              <c:layout>
                <c:manualLayout>
                  <c:x val="0.13544043636882308"/>
                  <c:y val="-7.57509642316064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1-46B7-8C24-93A561AC9C27}"/>
                </c:ext>
              </c:extLst>
            </c:dLbl>
            <c:dLbl>
              <c:idx val="2"/>
              <c:layout>
                <c:manualLayout>
                  <c:x val="-6.3487704547885895E-2"/>
                  <c:y val="2.392135712577046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F1-46B7-8C24-93A561AC9C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>
                    <a:solidFill>
                      <a:schemeClr val="tx1"/>
                    </a:solidFill>
                  </a:defRPr>
                </a:pPr>
                <a:endParaRPr lang="es-PE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'[1]3'!$R$71:$R$73</c:f>
              <c:strCache>
                <c:ptCount val="3"/>
                <c:pt idx="0">
                  <c:v>ZÓCALO</c:v>
                </c:pt>
                <c:pt idx="1">
                  <c:v>SELVA</c:v>
                </c:pt>
                <c:pt idx="2">
                  <c:v>COSTA</c:v>
                </c:pt>
              </c:strCache>
            </c:strRef>
          </c:cat>
          <c:val>
            <c:numRef>
              <c:f>'09'!$T$47:$T$49</c:f>
              <c:numCache>
                <c:formatCode>#,##0</c:formatCode>
                <c:ptCount val="3"/>
                <c:pt idx="0">
                  <c:v>2656578</c:v>
                </c:pt>
                <c:pt idx="1">
                  <c:v>34865941</c:v>
                </c:pt>
                <c:pt idx="2">
                  <c:v>8089064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F1-46B7-8C24-93A561AC9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85739282589675E-2"/>
          <c:y val="0.18565981335666376"/>
          <c:w val="0.87635870516185477"/>
          <c:h val="0.698360309128025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'10'!$C$7:$J$7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'10'!$C$37:$J$37</c:f>
              <c:numCache>
                <c:formatCode>General</c:formatCode>
                <c:ptCount val="8"/>
                <c:pt idx="0">
                  <c:v>62.9</c:v>
                </c:pt>
                <c:pt idx="1">
                  <c:v>69.3</c:v>
                </c:pt>
                <c:pt idx="2">
                  <c:v>58</c:v>
                </c:pt>
                <c:pt idx="3">
                  <c:v>40.5</c:v>
                </c:pt>
                <c:pt idx="4">
                  <c:v>43.6</c:v>
                </c:pt>
                <c:pt idx="5">
                  <c:v>48.9</c:v>
                </c:pt>
                <c:pt idx="6" formatCode="_-* #,##0.0_-;\-* #,##0.0_-;_-* &quot;-&quot;??_-;_-@_-">
                  <c:v>52.983750684931508</c:v>
                </c:pt>
                <c:pt idx="7" formatCode="_-* #,##0.0_-;\-* #,##0.0_-;_-* &quot;-&quot;??_-;_-@_-">
                  <c:v>39.677158469945354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A9-43E0-B787-F4AD6D0A3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415808"/>
        <c:axId val="1279412000"/>
      </c:barChart>
      <c:catAx>
        <c:axId val="127941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PE"/>
          </a:p>
        </c:txPr>
        <c:crossAx val="1279412000"/>
        <c:crosses val="autoZero"/>
        <c:auto val="1"/>
        <c:lblAlgn val="ctr"/>
        <c:lblOffset val="100"/>
        <c:noMultiLvlLbl val="0"/>
      </c:catAx>
      <c:valAx>
        <c:axId val="1279412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PE"/>
          </a:p>
        </c:txPr>
        <c:crossAx val="12794158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85739282589675E-2"/>
          <c:y val="0.18565981335666376"/>
          <c:w val="0.87635870516185477"/>
          <c:h val="0.698360309128025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'10'!$C$7:$J$7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'10'!$C$49:$J$49</c:f>
              <c:numCache>
                <c:formatCode>General</c:formatCode>
                <c:ptCount val="8"/>
                <c:pt idx="0">
                  <c:v>104.6</c:v>
                </c:pt>
                <c:pt idx="1">
                  <c:v>103.4</c:v>
                </c:pt>
                <c:pt idx="2">
                  <c:v>91.4</c:v>
                </c:pt>
                <c:pt idx="3">
                  <c:v>95</c:v>
                </c:pt>
                <c:pt idx="4">
                  <c:v>90.8</c:v>
                </c:pt>
                <c:pt idx="5">
                  <c:v>85.5</c:v>
                </c:pt>
                <c:pt idx="6" formatCode="_-* #,##0.0_-;\-* #,##0.0_-;_-* &quot;-&quot;??_-;_-@_-">
                  <c:v>86.737424657534248</c:v>
                </c:pt>
                <c:pt idx="7" formatCode="_-* #,##0.0_-;\-* #,##0.0_-;_-* &quot;-&quot;??_-;_-@_-">
                  <c:v>84.944653005464488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A-4248-BAFE-ADD5C4874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415808"/>
        <c:axId val="1279412000"/>
      </c:barChart>
      <c:catAx>
        <c:axId val="127941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PE"/>
          </a:p>
        </c:txPr>
        <c:crossAx val="1279412000"/>
        <c:crosses val="autoZero"/>
        <c:auto val="1"/>
        <c:lblAlgn val="ctr"/>
        <c:lblOffset val="100"/>
        <c:noMultiLvlLbl val="0"/>
      </c:catAx>
      <c:valAx>
        <c:axId val="1279412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PE"/>
          </a:p>
        </c:txPr>
        <c:crossAx val="12794158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306491</xdr:colOff>
      <xdr:row>38</xdr:row>
      <xdr:rowOff>16933</xdr:rowOff>
    </xdr:from>
    <xdr:to>
      <xdr:col>20</xdr:col>
      <xdr:colOff>152399</xdr:colOff>
      <xdr:row>53</xdr:row>
      <xdr:rowOff>8466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BB7444F-DED6-4EFB-91A6-49D565B6C7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11</xdr:row>
      <xdr:rowOff>104775</xdr:rowOff>
    </xdr:from>
    <xdr:to>
      <xdr:col>17</xdr:col>
      <xdr:colOff>82924</xdr:colOff>
      <xdr:row>26</xdr:row>
      <xdr:rowOff>10085</xdr:rowOff>
    </xdr:to>
    <xdr:graphicFrame macro="">
      <xdr:nvGraphicFramePr>
        <xdr:cNvPr id="2" name="5 Gráfico">
          <a:extLst>
            <a:ext uri="{FF2B5EF4-FFF2-40B4-BE49-F238E27FC236}">
              <a16:creationId xmlns:a16="http://schemas.microsoft.com/office/drawing/2014/main" id="{ED5935C1-A983-4379-BABA-A1173169F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95250</xdr:colOff>
      <xdr:row>31</xdr:row>
      <xdr:rowOff>125730</xdr:rowOff>
    </xdr:from>
    <xdr:to>
      <xdr:col>17</xdr:col>
      <xdr:colOff>101974</xdr:colOff>
      <xdr:row>46</xdr:row>
      <xdr:rowOff>31040</xdr:rowOff>
    </xdr:to>
    <xdr:graphicFrame macro="">
      <xdr:nvGraphicFramePr>
        <xdr:cNvPr id="3" name="5 Gráfico">
          <a:extLst>
            <a:ext uri="{FF2B5EF4-FFF2-40B4-BE49-F238E27FC236}">
              <a16:creationId xmlns:a16="http://schemas.microsoft.com/office/drawing/2014/main" id="{B15921BC-E94E-4400-A807-A9E9D0441D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32385</xdr:colOff>
      <xdr:row>59</xdr:row>
      <xdr:rowOff>7620</xdr:rowOff>
    </xdr:from>
    <xdr:to>
      <xdr:col>18</xdr:col>
      <xdr:colOff>419100</xdr:colOff>
      <xdr:row>71</xdr:row>
      <xdr:rowOff>91440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9994A2EB-9FE5-4DB1-BBEC-2DE1D3E23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0.00624</cdr:x>
      <cdr:y>0.0618</cdr:y>
    </cdr:from>
    <cdr:to>
      <cdr:x>0.13522</cdr:x>
      <cdr:y>0.13452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148A3056-6711-4867-B124-9D93B1DC565B}"/>
            </a:ext>
          </a:extLst>
        </cdr:cNvPr>
        <cdr:cNvSpPr txBox="1"/>
      </cdr:nvSpPr>
      <cdr:spPr>
        <a:xfrm xmlns:a="http://schemas.openxmlformats.org/drawingml/2006/main">
          <a:off x="28575" y="161925"/>
          <a:ext cx="5905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E" sz="1000" b="1"/>
            <a:t>MBPD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0.00624</cdr:x>
      <cdr:y>0.0618</cdr:y>
    </cdr:from>
    <cdr:to>
      <cdr:x>0.13522</cdr:x>
      <cdr:y>0.13452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148A3056-6711-4867-B124-9D93B1DC565B}"/>
            </a:ext>
          </a:extLst>
        </cdr:cNvPr>
        <cdr:cNvSpPr txBox="1"/>
      </cdr:nvSpPr>
      <cdr:spPr>
        <a:xfrm xmlns:a="http://schemas.openxmlformats.org/drawingml/2006/main">
          <a:off x="28575" y="161925"/>
          <a:ext cx="5905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E" sz="1000" b="1"/>
            <a:t>MBPD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0.03241</cdr:y>
    </cdr:from>
    <cdr:to>
      <cdr:x>0.14028</cdr:x>
      <cdr:y>0.10186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3C7BED85-B65E-4B0F-9351-4467BFA9B8B6}"/>
            </a:ext>
          </a:extLst>
        </cdr:cNvPr>
        <cdr:cNvSpPr txBox="1"/>
      </cdr:nvSpPr>
      <cdr:spPr>
        <a:xfrm xmlns:a="http://schemas.openxmlformats.org/drawingml/2006/main">
          <a:off x="50800" y="88900"/>
          <a:ext cx="590564" cy="190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1000" b="1"/>
            <a:t>MBPD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36</xdr:row>
      <xdr:rowOff>45719</xdr:rowOff>
    </xdr:from>
    <xdr:to>
      <xdr:col>8</xdr:col>
      <xdr:colOff>487680</xdr:colOff>
      <xdr:row>57</xdr:row>
      <xdr:rowOff>83820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78233CB7-3B5C-4077-A6E2-51C2458CCE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158115</xdr:colOff>
      <xdr:row>27</xdr:row>
      <xdr:rowOff>22860</xdr:rowOff>
    </xdr:from>
    <xdr:to>
      <xdr:col>9</xdr:col>
      <xdr:colOff>538906</xdr:colOff>
      <xdr:row>46</xdr:row>
      <xdr:rowOff>104712</xdr:rowOff>
    </xdr:to>
    <xdr:graphicFrame macro="">
      <xdr:nvGraphicFramePr>
        <xdr:cNvPr id="2" name="5 Gráfico">
          <a:extLst>
            <a:ext uri="{FF2B5EF4-FFF2-40B4-BE49-F238E27FC236}">
              <a16:creationId xmlns:a16="http://schemas.microsoft.com/office/drawing/2014/main" id="{D74DA5C7-0FFE-44C9-BA2F-44B194A5E1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30480</xdr:colOff>
      <xdr:row>53</xdr:row>
      <xdr:rowOff>53340</xdr:rowOff>
    </xdr:from>
    <xdr:to>
      <xdr:col>9</xdr:col>
      <xdr:colOff>116099</xdr:colOff>
      <xdr:row>73</xdr:row>
      <xdr:rowOff>74128</xdr:rowOff>
    </xdr:to>
    <xdr:graphicFrame macro="">
      <xdr:nvGraphicFramePr>
        <xdr:cNvPr id="3" name="6 Gráfico">
          <a:extLst>
            <a:ext uri="{FF2B5EF4-FFF2-40B4-BE49-F238E27FC236}">
              <a16:creationId xmlns:a16="http://schemas.microsoft.com/office/drawing/2014/main" id="{1EC619DA-BE0A-4658-8B28-D0A182EB72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0.01859</cdr:x>
      <cdr:y>0.02157</cdr:y>
    </cdr:from>
    <cdr:to>
      <cdr:x>0.15339</cdr:x>
      <cdr:y>0.09537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66A589DC-E880-4D00-9CA2-12339DA9C2CD}"/>
            </a:ext>
          </a:extLst>
        </cdr:cNvPr>
        <cdr:cNvSpPr txBox="1"/>
      </cdr:nvSpPr>
      <cdr:spPr>
        <a:xfrm xmlns:a="http://schemas.openxmlformats.org/drawingml/2006/main">
          <a:off x="88899" y="60324"/>
          <a:ext cx="644525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1000" b="1"/>
            <a:t>MMPCD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770035</xdr:colOff>
      <xdr:row>17</xdr:row>
      <xdr:rowOff>118110</xdr:rowOff>
    </xdr:from>
    <xdr:to>
      <xdr:col>6</xdr:col>
      <xdr:colOff>731520</xdr:colOff>
      <xdr:row>37</xdr:row>
      <xdr:rowOff>17145</xdr:rowOff>
    </xdr:to>
    <xdr:grpSp>
      <xdr:nvGrpSpPr>
        <xdr:cNvPr id="2" name="3 Grupo">
          <a:extLst>
            <a:ext uri="{FF2B5EF4-FFF2-40B4-BE49-F238E27FC236}">
              <a16:creationId xmlns:a16="http://schemas.microsoft.com/office/drawing/2014/main" id="{E9014EA9-780D-454C-8566-D9AA18D954E6}"/>
            </a:ext>
          </a:extLst>
        </xdr:cNvPr>
        <xdr:cNvGrpSpPr/>
      </xdr:nvGrpSpPr>
      <xdr:grpSpPr>
        <a:xfrm>
          <a:off x="760510" y="2537460"/>
          <a:ext cx="4543010" cy="2737485"/>
          <a:chOff x="877408" y="1605450"/>
          <a:chExt cx="5290039" cy="2743200"/>
        </a:xfrm>
      </xdr:grpSpPr>
      <xdr:graphicFrame macro="">
        <xdr:nvGraphicFramePr>
          <xdr:cNvPr id="3" name="1 Gráfico">
            <a:extLst>
              <a:ext uri="{FF2B5EF4-FFF2-40B4-BE49-F238E27FC236}">
                <a16:creationId xmlns:a16="http://schemas.microsoft.com/office/drawing/2014/main" id="{4B3CF37D-EE73-4399-BF5E-3C606E66E83C}"/>
              </a:ext>
            </a:extLst>
          </xdr:cNvPr>
          <xdr:cNvGraphicFramePr/>
        </xdr:nvGraphicFramePr>
        <xdr:xfrm>
          <a:off x="928697" y="1605450"/>
          <a:ext cx="523875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2 CuadroTexto">
            <a:extLst>
              <a:ext uri="{FF2B5EF4-FFF2-40B4-BE49-F238E27FC236}">
                <a16:creationId xmlns:a16="http://schemas.microsoft.com/office/drawing/2014/main" id="{D1A82CF4-9118-4DF8-B318-716DDAFE7869}"/>
              </a:ext>
            </a:extLst>
          </xdr:cNvPr>
          <xdr:cNvSpPr txBox="1"/>
        </xdr:nvSpPr>
        <xdr:spPr>
          <a:xfrm>
            <a:off x="877408" y="1809750"/>
            <a:ext cx="680251" cy="2100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s-PE" sz="800">
                <a:latin typeface="Arial Narrow" panose="020B0606020202030204" pitchFamily="34" charset="0"/>
              </a:rPr>
              <a:t>US$ Millones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14</xdr:row>
      <xdr:rowOff>28575</xdr:rowOff>
    </xdr:from>
    <xdr:to>
      <xdr:col>7</xdr:col>
      <xdr:colOff>85725</xdr:colOff>
      <xdr:row>33</xdr:row>
      <xdr:rowOff>57150</xdr:rowOff>
    </xdr:to>
    <xdr:grpSp>
      <xdr:nvGrpSpPr>
        <xdr:cNvPr id="2" name="3 Grupo">
          <a:extLst>
            <a:ext uri="{FF2B5EF4-FFF2-40B4-BE49-F238E27FC236}">
              <a16:creationId xmlns:a16="http://schemas.microsoft.com/office/drawing/2014/main" id="{BA0489E2-970F-4897-9C0E-B6BFC6F9B3D8}"/>
            </a:ext>
          </a:extLst>
        </xdr:cNvPr>
        <xdr:cNvGrpSpPr/>
      </xdr:nvGrpSpPr>
      <xdr:grpSpPr>
        <a:xfrm>
          <a:off x="647700" y="2076450"/>
          <a:ext cx="4772025" cy="2743200"/>
          <a:chOff x="609600" y="1690687"/>
          <a:chExt cx="5238750" cy="2743200"/>
        </a:xfrm>
      </xdr:grpSpPr>
      <xdr:graphicFrame macro="">
        <xdr:nvGraphicFramePr>
          <xdr:cNvPr id="3" name="1 Gráfico">
            <a:extLst>
              <a:ext uri="{FF2B5EF4-FFF2-40B4-BE49-F238E27FC236}">
                <a16:creationId xmlns:a16="http://schemas.microsoft.com/office/drawing/2014/main" id="{8EBBB3A1-E7EF-41BB-A9C9-12CD48828AFE}"/>
              </a:ext>
            </a:extLst>
          </xdr:cNvPr>
          <xdr:cNvGraphicFramePr/>
        </xdr:nvGraphicFramePr>
        <xdr:xfrm>
          <a:off x="609600" y="1690687"/>
          <a:ext cx="523875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2 CuadroTexto">
            <a:extLst>
              <a:ext uri="{FF2B5EF4-FFF2-40B4-BE49-F238E27FC236}">
                <a16:creationId xmlns:a16="http://schemas.microsoft.com/office/drawing/2014/main" id="{5C10898C-39F5-4DC2-A145-94CD7A0E6A31}"/>
              </a:ext>
            </a:extLst>
          </xdr:cNvPr>
          <xdr:cNvSpPr txBox="1"/>
        </xdr:nvSpPr>
        <xdr:spPr>
          <a:xfrm>
            <a:off x="647700" y="2019300"/>
            <a:ext cx="680251" cy="2100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s-PE" sz="800">
                <a:latin typeface="Arial Narrow" panose="020B0606020202030204" pitchFamily="34" charset="0"/>
              </a:rPr>
              <a:t>US$ Millones</a:t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7</xdr:col>
      <xdr:colOff>650082</xdr:colOff>
      <xdr:row>36</xdr:row>
      <xdr:rowOff>86406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F6E83CAE-625C-4804-8775-08E85649FC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0.01482</cdr:x>
      <cdr:y>0.05247</cdr:y>
    </cdr:from>
    <cdr:to>
      <cdr:x>0.11111</cdr:x>
      <cdr:y>0.1142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3A3C4507-9690-4FAF-890B-EDDFDA572D53}"/>
            </a:ext>
          </a:extLst>
        </cdr:cNvPr>
        <cdr:cNvSpPr txBox="1"/>
      </cdr:nvSpPr>
      <cdr:spPr>
        <a:xfrm xmlns:a="http://schemas.openxmlformats.org/drawingml/2006/main">
          <a:off x="67735" y="143933"/>
          <a:ext cx="440266" cy="169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E" sz="900" b="1"/>
            <a:t>Km</a:t>
          </a:r>
        </a:p>
      </cdr:txBody>
    </cdr:sp>
  </cdr:relSizeAnchor>
  <cdr:relSizeAnchor xmlns:cdr="http://schemas.openxmlformats.org/drawingml/2006/chartDrawing">
    <cdr:from>
      <cdr:x>0.21912</cdr:x>
      <cdr:y>0.16358</cdr:y>
    </cdr:from>
    <cdr:to>
      <cdr:x>0.22097</cdr:x>
      <cdr:y>0.83951</cdr:y>
    </cdr:to>
    <cdr:cxnSp macro="">
      <cdr:nvCxnSpPr>
        <cdr:cNvPr id="4" name="Conector recto 3">
          <a:extLst xmlns:a="http://schemas.openxmlformats.org/drawingml/2006/main">
            <a:ext uri="{FF2B5EF4-FFF2-40B4-BE49-F238E27FC236}">
              <a16:creationId xmlns:a16="http://schemas.microsoft.com/office/drawing/2014/main" id="{E47B27BE-8F13-42D1-8240-355F37265F7C}"/>
            </a:ext>
          </a:extLst>
        </cdr:cNvPr>
        <cdr:cNvCxnSpPr/>
      </cdr:nvCxnSpPr>
      <cdr:spPr>
        <a:xfrm xmlns:a="http://schemas.openxmlformats.org/drawingml/2006/main" flipH="1" flipV="1">
          <a:off x="1049658" y="455657"/>
          <a:ext cx="8862" cy="1882826"/>
        </a:xfrm>
        <a:prstGeom xmlns:a="http://schemas.openxmlformats.org/drawingml/2006/main" prst="line">
          <a:avLst/>
        </a:prstGeom>
        <a:ln xmlns:a="http://schemas.openxmlformats.org/drawingml/2006/main"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0.84208</cdr:x>
      <cdr:y>0.15755</cdr:y>
    </cdr:from>
    <cdr:to>
      <cdr:x>0.84393</cdr:x>
      <cdr:y>0.83347</cdr:y>
    </cdr:to>
    <cdr:cxnSp macro="">
      <cdr:nvCxnSpPr>
        <cdr:cNvPr id="5" name="Conector recto 4">
          <a:extLst xmlns:a="http://schemas.openxmlformats.org/drawingml/2006/main">
            <a:ext uri="{FF2B5EF4-FFF2-40B4-BE49-F238E27FC236}">
              <a16:creationId xmlns:a16="http://schemas.microsoft.com/office/drawing/2014/main" id="{FB380786-5432-4BBB-BD37-94CEED32F7B3}"/>
            </a:ext>
          </a:extLst>
        </cdr:cNvPr>
        <cdr:cNvCxnSpPr/>
      </cdr:nvCxnSpPr>
      <cdr:spPr>
        <a:xfrm xmlns:a="http://schemas.openxmlformats.org/drawingml/2006/main" flipH="1" flipV="1">
          <a:off x="4033923" y="438865"/>
          <a:ext cx="8862" cy="1882797"/>
        </a:xfrm>
        <a:prstGeom xmlns:a="http://schemas.openxmlformats.org/drawingml/2006/main" prst="line">
          <a:avLst/>
        </a:prstGeom>
        <a:ln xmlns:a="http://schemas.openxmlformats.org/drawingml/2006/main"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0.02831</cdr:x>
      <cdr:y>0.08275</cdr:y>
    </cdr:from>
    <cdr:to>
      <cdr:x>0.15682</cdr:x>
      <cdr:y>0.15774</cdr:y>
    </cdr:to>
    <cdr:sp macro="" textlink="">
      <cdr:nvSpPr>
        <cdr:cNvPr id="2" name="2 CuadroTexto">
          <a:extLst xmlns:a="http://schemas.openxmlformats.org/drawingml/2006/main">
            <a:ext uri="{FF2B5EF4-FFF2-40B4-BE49-F238E27FC236}">
              <a16:creationId xmlns:a16="http://schemas.microsoft.com/office/drawing/2014/main" id="{CF04A676-17CD-4296-AF42-0A93D781367C}"/>
            </a:ext>
          </a:extLst>
        </cdr:cNvPr>
        <cdr:cNvSpPr txBox="1"/>
      </cdr:nvSpPr>
      <cdr:spPr>
        <a:xfrm xmlns:a="http://schemas.openxmlformats.org/drawingml/2006/main">
          <a:off x="136525" y="231775"/>
          <a:ext cx="619647" cy="21005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800">
              <a:latin typeface="Arial Narrow" panose="020B0606020202030204" pitchFamily="34" charset="0"/>
            </a:rPr>
            <a:t>US$ Millones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252693</xdr:colOff>
      <xdr:row>8</xdr:row>
      <xdr:rowOff>17649</xdr:rowOff>
    </xdr:from>
    <xdr:to>
      <xdr:col>12</xdr:col>
      <xdr:colOff>614643</xdr:colOff>
      <xdr:row>26</xdr:row>
      <xdr:rowOff>74799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42142</xdr:colOff>
      <xdr:row>6</xdr:row>
      <xdr:rowOff>127186</xdr:rowOff>
    </xdr:from>
    <xdr:ext cx="3890809" cy="239809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 txBox="1"/>
      </xdr:nvSpPr>
      <xdr:spPr>
        <a:xfrm>
          <a:off x="6585817" y="1346386"/>
          <a:ext cx="3890809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PE" sz="1000" b="1" baseline="0">
              <a:latin typeface="Arial" panose="020B0604020202020204" pitchFamily="34" charset="0"/>
              <a:cs typeface="Arial" panose="020B0604020202020204" pitchFamily="34" charset="0"/>
            </a:rPr>
            <a:t>Importaciones de Biodiesel 2015, según pais de procedencia</a:t>
          </a:r>
        </a:p>
      </xdr:txBody>
    </xdr:sp>
    <xdr:clientData/>
  </xdr:oneCellAnchor>
  <xdr:twoCellAnchor>
    <xdr:from>
      <xdr:col>13</xdr:col>
      <xdr:colOff>0</xdr:colOff>
      <xdr:row>8</xdr:row>
      <xdr:rowOff>0</xdr:rowOff>
    </xdr:from>
    <xdr:to>
      <xdr:col>18</xdr:col>
      <xdr:colOff>149038</xdr:colOff>
      <xdr:row>26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13</xdr:col>
      <xdr:colOff>0</xdr:colOff>
      <xdr:row>7</xdr:row>
      <xdr:rowOff>0</xdr:rowOff>
    </xdr:from>
    <xdr:ext cx="3890809" cy="239809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SpPr txBox="1"/>
      </xdr:nvSpPr>
      <xdr:spPr>
        <a:xfrm>
          <a:off x="11020425" y="1409700"/>
          <a:ext cx="3890809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PE" sz="1000" b="1" baseline="0">
              <a:latin typeface="Arial" panose="020B0604020202020204" pitchFamily="34" charset="0"/>
              <a:cs typeface="Arial" panose="020B0604020202020204" pitchFamily="34" charset="0"/>
            </a:rPr>
            <a:t>Importaciones de Biodiesel 2016, según pais de procedencia</a:t>
          </a:r>
        </a:p>
      </xdr:txBody>
    </xdr:sp>
    <xdr:clientData/>
  </xdr:oneCellAnchor>
  <xdr:twoCellAnchor>
    <xdr:from>
      <xdr:col>6</xdr:col>
      <xdr:colOff>526676</xdr:colOff>
      <xdr:row>41</xdr:row>
      <xdr:rowOff>123265</xdr:rowOff>
    </xdr:from>
    <xdr:to>
      <xdr:col>12</xdr:col>
      <xdr:colOff>126626</xdr:colOff>
      <xdr:row>56</xdr:row>
      <xdr:rowOff>12327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705970</xdr:colOff>
      <xdr:row>41</xdr:row>
      <xdr:rowOff>112059</xdr:rowOff>
    </xdr:from>
    <xdr:to>
      <xdr:col>18</xdr:col>
      <xdr:colOff>93008</xdr:colOff>
      <xdr:row>56</xdr:row>
      <xdr:rowOff>1121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526677</xdr:colOff>
      <xdr:row>31</xdr:row>
      <xdr:rowOff>89647</xdr:rowOff>
    </xdr:from>
    <xdr:to>
      <xdr:col>26</xdr:col>
      <xdr:colOff>36980</xdr:colOff>
      <xdr:row>45</xdr:row>
      <xdr:rowOff>68356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7</xdr:col>
      <xdr:colOff>0</xdr:colOff>
      <xdr:row>40</xdr:row>
      <xdr:rowOff>0</xdr:rowOff>
    </xdr:from>
    <xdr:ext cx="3890809" cy="239809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5781675" y="7820025"/>
          <a:ext cx="3890809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PE" sz="1000" b="1" baseline="0">
              <a:latin typeface="Arial" panose="020B0604020202020204" pitchFamily="34" charset="0"/>
              <a:cs typeface="Arial" panose="020B0604020202020204" pitchFamily="34" charset="0"/>
            </a:rPr>
            <a:t>Importaciones de Biodiesel 2017, según pais de procedencia</a:t>
          </a:r>
        </a:p>
      </xdr:txBody>
    </xdr:sp>
    <xdr:clientData/>
  </xdr:oneCellAnchor>
  <xdr:oneCellAnchor>
    <xdr:from>
      <xdr:col>13</xdr:col>
      <xdr:colOff>0</xdr:colOff>
      <xdr:row>40</xdr:row>
      <xdr:rowOff>0</xdr:rowOff>
    </xdr:from>
    <xdr:ext cx="3890809" cy="239809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SpPr txBox="1"/>
      </xdr:nvSpPr>
      <xdr:spPr>
        <a:xfrm>
          <a:off x="11020425" y="7820025"/>
          <a:ext cx="3890809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PE" sz="1000" b="1" baseline="0">
              <a:latin typeface="Arial" panose="020B0604020202020204" pitchFamily="34" charset="0"/>
              <a:cs typeface="Arial" panose="020B0604020202020204" pitchFamily="34" charset="0"/>
            </a:rPr>
            <a:t>Importaciones de Biodiesel 2018, según pais de procedencia</a:t>
          </a:r>
        </a:p>
      </xdr:txBody>
    </xdr:sp>
    <xdr:clientData/>
  </xdr:oneCellAnchor>
  <xdr:oneCellAnchor>
    <xdr:from>
      <xdr:col>20</xdr:col>
      <xdr:colOff>0</xdr:colOff>
      <xdr:row>30</xdr:row>
      <xdr:rowOff>0</xdr:rowOff>
    </xdr:from>
    <xdr:ext cx="3890809" cy="239809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SpPr txBox="1"/>
      </xdr:nvSpPr>
      <xdr:spPr>
        <a:xfrm>
          <a:off x="17240250" y="5819775"/>
          <a:ext cx="3890809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PE" sz="1000" b="1" baseline="0">
              <a:latin typeface="Arial" panose="020B0604020202020204" pitchFamily="34" charset="0"/>
              <a:cs typeface="Arial" panose="020B0604020202020204" pitchFamily="34" charset="0"/>
            </a:rPr>
            <a:t>Importaciones de Biodiesel 2019, según pais de procedencia</a:t>
          </a:r>
        </a:p>
      </xdr:txBody>
    </xdr:sp>
    <xdr:clientData/>
  </xdr:oneCellAnchor>
  <xdr:twoCellAnchor>
    <xdr:from>
      <xdr:col>7</xdr:col>
      <xdr:colOff>0</xdr:colOff>
      <xdr:row>27</xdr:row>
      <xdr:rowOff>0</xdr:rowOff>
    </xdr:from>
    <xdr:to>
      <xdr:col>11</xdr:col>
      <xdr:colOff>39791</xdr:colOff>
      <xdr:row>30</xdr:row>
      <xdr:rowOff>16521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5781675" y="5248275"/>
          <a:ext cx="3754541" cy="5880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PE" sz="900"/>
            <a:t>Fuente: SUNAT</a:t>
          </a:r>
          <a:r>
            <a:rPr lang="es-PE" sz="900" baseline="0"/>
            <a:t>. Elaboración: DGH-MINEM</a:t>
          </a:r>
          <a:endParaRPr lang="es-PE" sz="900"/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16</xdr:col>
      <xdr:colOff>588879</xdr:colOff>
      <xdr:row>30</xdr:row>
      <xdr:rowOff>16521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11020425" y="5248275"/>
          <a:ext cx="3760704" cy="5880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PE" sz="900"/>
            <a:t>Fuente: SUNAT</a:t>
          </a:r>
          <a:r>
            <a:rPr lang="es-PE" sz="900" baseline="0"/>
            <a:t>. Elaboración: DGH-MINEM</a:t>
          </a:r>
          <a:endParaRPr lang="es-PE" sz="900"/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11</xdr:col>
      <xdr:colOff>39791</xdr:colOff>
      <xdr:row>60</xdr:row>
      <xdr:rowOff>16521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SpPr txBox="1"/>
      </xdr:nvSpPr>
      <xdr:spPr>
        <a:xfrm>
          <a:off x="5781675" y="11058525"/>
          <a:ext cx="3754541" cy="5880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PE" sz="900"/>
            <a:t>Fuente: SUNAT</a:t>
          </a:r>
          <a:r>
            <a:rPr lang="es-PE" sz="900" baseline="0"/>
            <a:t>. Elaboración: DGH-MINEM</a:t>
          </a:r>
          <a:endParaRPr lang="es-PE" sz="900"/>
        </a:p>
      </xdr:txBody>
    </xdr:sp>
    <xdr:clientData/>
  </xdr:twoCellAnchor>
  <xdr:twoCellAnchor>
    <xdr:from>
      <xdr:col>13</xdr:col>
      <xdr:colOff>0</xdr:colOff>
      <xdr:row>57</xdr:row>
      <xdr:rowOff>0</xdr:rowOff>
    </xdr:from>
    <xdr:to>
      <xdr:col>16</xdr:col>
      <xdr:colOff>588879</xdr:colOff>
      <xdr:row>60</xdr:row>
      <xdr:rowOff>16521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1500-000012000000}"/>
            </a:ext>
          </a:extLst>
        </xdr:cNvPr>
        <xdr:cNvSpPr txBox="1"/>
      </xdr:nvSpPr>
      <xdr:spPr>
        <a:xfrm>
          <a:off x="11020425" y="11058525"/>
          <a:ext cx="3760704" cy="5880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PE" sz="900"/>
            <a:t>Fuente: SUNAT</a:t>
          </a:r>
          <a:r>
            <a:rPr lang="es-PE" sz="900" baseline="0"/>
            <a:t>. Elaboración: DGH-MINEM</a:t>
          </a:r>
          <a:endParaRPr lang="es-PE" sz="900"/>
        </a:p>
      </xdr:txBody>
    </xdr:sp>
    <xdr:clientData/>
  </xdr:twoCellAnchor>
  <xdr:twoCellAnchor>
    <xdr:from>
      <xdr:col>20</xdr:col>
      <xdr:colOff>0</xdr:colOff>
      <xdr:row>46</xdr:row>
      <xdr:rowOff>0</xdr:rowOff>
    </xdr:from>
    <xdr:to>
      <xdr:col>24</xdr:col>
      <xdr:colOff>712144</xdr:colOff>
      <xdr:row>49</xdr:row>
      <xdr:rowOff>16521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1500-000013000000}"/>
            </a:ext>
          </a:extLst>
        </xdr:cNvPr>
        <xdr:cNvSpPr txBox="1"/>
      </xdr:nvSpPr>
      <xdr:spPr>
        <a:xfrm>
          <a:off x="17240250" y="8963025"/>
          <a:ext cx="3760144" cy="5880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PE" sz="900"/>
            <a:t>Fuente: SUNAT</a:t>
          </a:r>
          <a:r>
            <a:rPr lang="es-PE" sz="900" baseline="0"/>
            <a:t>. Elaboración: DGH-MINEM</a:t>
          </a:r>
          <a:endParaRPr lang="es-PE" sz="900"/>
        </a:p>
      </xdr:txBody>
    </xdr:sp>
    <xdr:clientData/>
  </xdr:twoCellAnchor>
  <xdr:twoCellAnchor>
    <xdr:from>
      <xdr:col>7</xdr:col>
      <xdr:colOff>549088</xdr:colOff>
      <xdr:row>71</xdr:row>
      <xdr:rowOff>44823</xdr:rowOff>
    </xdr:from>
    <xdr:to>
      <xdr:col>13</xdr:col>
      <xdr:colOff>149038</xdr:colOff>
      <xdr:row>85</xdr:row>
      <xdr:rowOff>124385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8</xdr:col>
      <xdr:colOff>0</xdr:colOff>
      <xdr:row>69</xdr:row>
      <xdr:rowOff>0</xdr:rowOff>
    </xdr:from>
    <xdr:ext cx="3890809" cy="239809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6543675" y="13344525"/>
          <a:ext cx="3890809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PE" sz="1000" b="1" baseline="0">
              <a:latin typeface="Arial" panose="020B0604020202020204" pitchFamily="34" charset="0"/>
              <a:cs typeface="Arial" panose="020B0604020202020204" pitchFamily="34" charset="0"/>
            </a:rPr>
            <a:t>Importaciones de Biodiesel 2020, según pais de procedencia</a:t>
          </a:r>
        </a:p>
      </xdr:txBody>
    </xdr:sp>
    <xdr:clientData/>
  </xdr:oneCellAnchor>
  <xdr:twoCellAnchor>
    <xdr:from>
      <xdr:col>8</xdr:col>
      <xdr:colOff>0</xdr:colOff>
      <xdr:row>88</xdr:row>
      <xdr:rowOff>0</xdr:rowOff>
    </xdr:from>
    <xdr:to>
      <xdr:col>12</xdr:col>
      <xdr:colOff>39791</xdr:colOff>
      <xdr:row>91</xdr:row>
      <xdr:rowOff>16521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SpPr txBox="1"/>
      </xdr:nvSpPr>
      <xdr:spPr>
        <a:xfrm>
          <a:off x="6543675" y="16964025"/>
          <a:ext cx="3754541" cy="5880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PE" sz="900"/>
            <a:t>Fuente: SUNAT</a:t>
          </a:r>
          <a:r>
            <a:rPr lang="es-PE" sz="900" baseline="0"/>
            <a:t>. Elaboración: DGH-MINEM</a:t>
          </a:r>
          <a:endParaRPr lang="es-PE" sz="9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405551</xdr:colOff>
      <xdr:row>25</xdr:row>
      <xdr:rowOff>99060</xdr:rowOff>
    </xdr:from>
    <xdr:to>
      <xdr:col>20</xdr:col>
      <xdr:colOff>716280</xdr:colOff>
      <xdr:row>40</xdr:row>
      <xdr:rowOff>91440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FAFA2F4-188E-4A9E-9327-B89E3F686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0.05742</cdr:x>
      <cdr:y>0.00815</cdr:y>
    </cdr:from>
    <cdr:to>
      <cdr:x>0.14803</cdr:x>
      <cdr:y>0.08864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3A3C4507-9690-4FAF-890B-EDDFDA572D53}"/>
            </a:ext>
          </a:extLst>
        </cdr:cNvPr>
        <cdr:cNvSpPr txBox="1"/>
      </cdr:nvSpPr>
      <cdr:spPr>
        <a:xfrm xmlns:a="http://schemas.openxmlformats.org/drawingml/2006/main">
          <a:off x="297860" y="22416"/>
          <a:ext cx="470070" cy="221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E" sz="900" b="1"/>
            <a:t>Km</a:t>
          </a:r>
          <a:r>
            <a:rPr lang="es-PE" sz="900" b="1" baseline="30000"/>
            <a:t>2</a:t>
          </a:r>
        </a:p>
      </cdr:txBody>
    </cdr:sp>
  </cdr:relSizeAnchor>
  <cdr:relSizeAnchor xmlns:cdr="http://schemas.openxmlformats.org/drawingml/2006/chartDrawing">
    <cdr:from>
      <cdr:x>0.2413</cdr:x>
      <cdr:y>0.09156</cdr:y>
    </cdr:from>
    <cdr:to>
      <cdr:x>0.24315</cdr:x>
      <cdr:y>0.76749</cdr:y>
    </cdr:to>
    <cdr:cxnSp macro="">
      <cdr:nvCxnSpPr>
        <cdr:cNvPr id="4" name="Conector recto 3">
          <a:extLst xmlns:a="http://schemas.openxmlformats.org/drawingml/2006/main">
            <a:ext uri="{FF2B5EF4-FFF2-40B4-BE49-F238E27FC236}">
              <a16:creationId xmlns:a16="http://schemas.microsoft.com/office/drawing/2014/main" id="{E47B27BE-8F13-42D1-8240-355F37265F7C}"/>
            </a:ext>
          </a:extLst>
        </cdr:cNvPr>
        <cdr:cNvCxnSpPr/>
      </cdr:nvCxnSpPr>
      <cdr:spPr>
        <a:xfrm xmlns:a="http://schemas.openxmlformats.org/drawingml/2006/main" flipH="1" flipV="1">
          <a:off x="1251742" y="251855"/>
          <a:ext cx="9596" cy="1859361"/>
        </a:xfrm>
        <a:prstGeom xmlns:a="http://schemas.openxmlformats.org/drawingml/2006/main" prst="line">
          <a:avLst/>
        </a:prstGeom>
        <a:ln xmlns:a="http://schemas.openxmlformats.org/drawingml/2006/main"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0.80683</cdr:x>
      <cdr:y>0.09107</cdr:y>
    </cdr:from>
    <cdr:to>
      <cdr:x>0.80868</cdr:x>
      <cdr:y>0.76699</cdr:y>
    </cdr:to>
    <cdr:cxnSp macro="">
      <cdr:nvCxnSpPr>
        <cdr:cNvPr id="5" name="Conector recto 4">
          <a:extLst xmlns:a="http://schemas.openxmlformats.org/drawingml/2006/main">
            <a:ext uri="{FF2B5EF4-FFF2-40B4-BE49-F238E27FC236}">
              <a16:creationId xmlns:a16="http://schemas.microsoft.com/office/drawing/2014/main" id="{FB380786-5432-4BBB-BD37-94CEED32F7B3}"/>
            </a:ext>
          </a:extLst>
        </cdr:cNvPr>
        <cdr:cNvCxnSpPr/>
      </cdr:nvCxnSpPr>
      <cdr:spPr>
        <a:xfrm xmlns:a="http://schemas.openxmlformats.org/drawingml/2006/main" flipH="1" flipV="1">
          <a:off x="4185434" y="250512"/>
          <a:ext cx="9597" cy="1859334"/>
        </a:xfrm>
        <a:prstGeom xmlns:a="http://schemas.openxmlformats.org/drawingml/2006/main" prst="line">
          <a:avLst/>
        </a:prstGeom>
        <a:ln xmlns:a="http://schemas.openxmlformats.org/drawingml/2006/main"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17</xdr:row>
      <xdr:rowOff>83820</xdr:rowOff>
    </xdr:from>
    <xdr:to>
      <xdr:col>14</xdr:col>
      <xdr:colOff>274320</xdr:colOff>
      <xdr:row>31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ACBBF41-BF02-457D-8BA9-8D1BDD3D56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405551</xdr:colOff>
      <xdr:row>37</xdr:row>
      <xdr:rowOff>99060</xdr:rowOff>
    </xdr:from>
    <xdr:to>
      <xdr:col>11</xdr:col>
      <xdr:colOff>716280</xdr:colOff>
      <xdr:row>52</xdr:row>
      <xdr:rowOff>91440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725BA3B-70FB-4FD8-A004-4BEA895F85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0.05742</cdr:x>
      <cdr:y>0.00815</cdr:y>
    </cdr:from>
    <cdr:to>
      <cdr:x>0.14803</cdr:x>
      <cdr:y>0.08864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3A3C4507-9690-4FAF-890B-EDDFDA572D53}"/>
            </a:ext>
          </a:extLst>
        </cdr:cNvPr>
        <cdr:cNvSpPr txBox="1"/>
      </cdr:nvSpPr>
      <cdr:spPr>
        <a:xfrm xmlns:a="http://schemas.openxmlformats.org/drawingml/2006/main">
          <a:off x="297860" y="22416"/>
          <a:ext cx="470070" cy="221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E" sz="900" b="1"/>
            <a:t>N°</a:t>
          </a:r>
          <a:endParaRPr lang="es-PE" sz="900" b="1" baseline="30000"/>
        </a:p>
      </cdr:txBody>
    </cdr:sp>
  </cdr:relSizeAnchor>
  <cdr:relSizeAnchor xmlns:cdr="http://schemas.openxmlformats.org/drawingml/2006/chartDrawing">
    <cdr:from>
      <cdr:x>0.2413</cdr:x>
      <cdr:y>0.09156</cdr:y>
    </cdr:from>
    <cdr:to>
      <cdr:x>0.24315</cdr:x>
      <cdr:y>0.76749</cdr:y>
    </cdr:to>
    <cdr:cxnSp macro="">
      <cdr:nvCxnSpPr>
        <cdr:cNvPr id="4" name="Conector recto 3">
          <a:extLst xmlns:a="http://schemas.openxmlformats.org/drawingml/2006/main">
            <a:ext uri="{FF2B5EF4-FFF2-40B4-BE49-F238E27FC236}">
              <a16:creationId xmlns:a16="http://schemas.microsoft.com/office/drawing/2014/main" id="{E47B27BE-8F13-42D1-8240-355F37265F7C}"/>
            </a:ext>
          </a:extLst>
        </cdr:cNvPr>
        <cdr:cNvCxnSpPr/>
      </cdr:nvCxnSpPr>
      <cdr:spPr>
        <a:xfrm xmlns:a="http://schemas.openxmlformats.org/drawingml/2006/main" flipH="1" flipV="1">
          <a:off x="1251742" y="251855"/>
          <a:ext cx="9596" cy="1859361"/>
        </a:xfrm>
        <a:prstGeom xmlns:a="http://schemas.openxmlformats.org/drawingml/2006/main" prst="line">
          <a:avLst/>
        </a:prstGeom>
        <a:ln xmlns:a="http://schemas.openxmlformats.org/drawingml/2006/main"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0.80683</cdr:x>
      <cdr:y>0.09107</cdr:y>
    </cdr:from>
    <cdr:to>
      <cdr:x>0.80868</cdr:x>
      <cdr:y>0.76699</cdr:y>
    </cdr:to>
    <cdr:cxnSp macro="">
      <cdr:nvCxnSpPr>
        <cdr:cNvPr id="5" name="Conector recto 4">
          <a:extLst xmlns:a="http://schemas.openxmlformats.org/drawingml/2006/main">
            <a:ext uri="{FF2B5EF4-FFF2-40B4-BE49-F238E27FC236}">
              <a16:creationId xmlns:a16="http://schemas.microsoft.com/office/drawing/2014/main" id="{FB380786-5432-4BBB-BD37-94CEED32F7B3}"/>
            </a:ext>
          </a:extLst>
        </cdr:cNvPr>
        <cdr:cNvCxnSpPr/>
      </cdr:nvCxnSpPr>
      <cdr:spPr>
        <a:xfrm xmlns:a="http://schemas.openxmlformats.org/drawingml/2006/main" flipH="1" flipV="1">
          <a:off x="4185434" y="250512"/>
          <a:ext cx="9597" cy="1859334"/>
        </a:xfrm>
        <a:prstGeom xmlns:a="http://schemas.openxmlformats.org/drawingml/2006/main" prst="line">
          <a:avLst/>
        </a:prstGeom>
        <a:ln xmlns:a="http://schemas.openxmlformats.org/drawingml/2006/main"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15</xdr:row>
      <xdr:rowOff>38100</xdr:rowOff>
    </xdr:from>
    <xdr:to>
      <xdr:col>14</xdr:col>
      <xdr:colOff>609600</xdr:colOff>
      <xdr:row>31</xdr:row>
      <xdr:rowOff>99060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B70BD4B1-1148-4E71-8129-8DF5C317BD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647700</xdr:colOff>
      <xdr:row>8</xdr:row>
      <xdr:rowOff>60960</xdr:rowOff>
    </xdr:from>
    <xdr:to>
      <xdr:col>24</xdr:col>
      <xdr:colOff>152318</xdr:colOff>
      <xdr:row>22</xdr:row>
      <xdr:rowOff>148756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877C3EE1-7016-450D-AA45-68DC085736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7621</xdr:colOff>
      <xdr:row>28</xdr:row>
      <xdr:rowOff>60960</xdr:rowOff>
    </xdr:from>
    <xdr:to>
      <xdr:col>24</xdr:col>
      <xdr:colOff>68580</xdr:colOff>
      <xdr:row>41</xdr:row>
      <xdr:rowOff>72668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531377D9-618E-4D65-9692-DFFC6ECCEC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IDY%20DEEH/EXPEDIENTES/ESTADISTICAS/I-2632-2019%20-DPTC%20(ANUARIO%20ESTAD&#205;STICO)/Anuario%20al%202018/CAPITULO%20II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FICOS%20DPTC%20-%20ANU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10"/>
      <sheetName val="11"/>
      <sheetName val="12"/>
    </sheetNames>
    <sheetDataSet>
      <sheetData sheetId="0"/>
      <sheetData sheetId="1">
        <row r="8">
          <cell r="W8" t="str">
            <v>Costa</v>
          </cell>
        </row>
        <row r="9">
          <cell r="W9" t="str">
            <v>Zócalo</v>
          </cell>
        </row>
        <row r="10">
          <cell r="W10" t="str">
            <v>Selva</v>
          </cell>
        </row>
      </sheetData>
      <sheetData sheetId="2">
        <row r="71">
          <cell r="R71" t="str">
            <v>ZÓCALO</v>
          </cell>
        </row>
        <row r="72">
          <cell r="R72" t="str">
            <v>SELVA</v>
          </cell>
        </row>
        <row r="73">
          <cell r="R73" t="str">
            <v>COSTA</v>
          </cell>
        </row>
      </sheetData>
      <sheetData sheetId="3"/>
      <sheetData sheetId="4">
        <row r="20">
          <cell r="W20">
            <v>43101</v>
          </cell>
          <cell r="X20">
            <v>43132</v>
          </cell>
          <cell r="Y20">
            <v>43160</v>
          </cell>
          <cell r="Z20">
            <v>43191</v>
          </cell>
          <cell r="AA20">
            <v>43221</v>
          </cell>
          <cell r="AB20">
            <v>43252</v>
          </cell>
          <cell r="AC20">
            <v>43282</v>
          </cell>
          <cell r="AD20">
            <v>43313</v>
          </cell>
          <cell r="AE20">
            <v>43344</v>
          </cell>
          <cell r="AF20">
            <v>43374</v>
          </cell>
          <cell r="AG20">
            <v>43405</v>
          </cell>
          <cell r="AH20">
            <v>43435</v>
          </cell>
        </row>
        <row r="31">
          <cell r="V31" t="str">
            <v>Ene</v>
          </cell>
        </row>
        <row r="32">
          <cell r="V32" t="str">
            <v>Feb</v>
          </cell>
        </row>
        <row r="33">
          <cell r="V33" t="str">
            <v>Mar</v>
          </cell>
        </row>
        <row r="34">
          <cell r="V34" t="str">
            <v>Abr</v>
          </cell>
        </row>
        <row r="35">
          <cell r="V35" t="str">
            <v>May</v>
          </cell>
        </row>
        <row r="36">
          <cell r="V36" t="str">
            <v>Jun</v>
          </cell>
        </row>
        <row r="37">
          <cell r="V37" t="str">
            <v>Jul</v>
          </cell>
        </row>
        <row r="38">
          <cell r="V38" t="str">
            <v>Ago</v>
          </cell>
        </row>
        <row r="39">
          <cell r="V39" t="str">
            <v>Sep</v>
          </cell>
        </row>
        <row r="40">
          <cell r="V40" t="str">
            <v>Oct</v>
          </cell>
        </row>
        <row r="41">
          <cell r="V41" t="str">
            <v>Nov</v>
          </cell>
        </row>
        <row r="42">
          <cell r="V42" t="str">
            <v>Dic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17"/>
      <sheetName val="18"/>
      <sheetName val="19"/>
      <sheetName val="20"/>
      <sheetName val="Hoja1"/>
      <sheetName val="21"/>
      <sheetName val="22"/>
      <sheetName val="23."/>
      <sheetName val="24"/>
      <sheetName val="25."/>
      <sheetName val="26."/>
      <sheetName val="27."/>
      <sheetName val="28."/>
      <sheetName val="29."/>
      <sheetName val="30"/>
      <sheetName val="31"/>
      <sheetName val="32"/>
      <sheetName val="33"/>
      <sheetName val="34"/>
      <sheetName val="36"/>
      <sheetName val="37"/>
      <sheetName val="biodies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7">
          <cell r="K17">
            <v>1888.8373999999999</v>
          </cell>
        </row>
        <row r="18">
          <cell r="K18">
            <v>33743.887786000007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T58"/>
  <sheetViews>
    <sheetView showGridLines="0" topLeftCell="A13" zoomScale="90" zoomScaleNormal="90" workbookViewId="0">
      <selection activeCell="O32" sqref="O32"/>
    </sheetView>
  </sheetViews>
  <sheetFormatPr baseColWidth="10" defaultColWidth="9.5703125" defaultRowHeight="14.45" customHeight="1" x14ac:dyDescent="0.2"/>
  <cols>
    <col min="1" max="1" width="14.28515625" style="1" customWidth="1"/>
    <col min="2" max="2" width="9.5703125" style="2"/>
    <col min="3" max="9" width="9.5703125" style="3"/>
    <col min="10" max="11" width="9.5703125" style="4"/>
    <col min="12" max="13" width="5.5703125" style="5" customWidth="1"/>
    <col min="14" max="16384" width="9.5703125" style="5"/>
  </cols>
  <sheetData>
    <row r="2" spans="1:11" ht="14.45" customHeight="1" x14ac:dyDescent="0.2">
      <c r="A2" s="440" t="s">
        <v>0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</row>
    <row r="4" spans="1:11" s="6" customFormat="1" ht="14.45" customHeight="1" x14ac:dyDescent="0.2">
      <c r="A4" s="441" t="s">
        <v>1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</row>
    <row r="5" spans="1:11" s="6" customFormat="1" ht="14.45" customHeight="1" x14ac:dyDescent="0.2">
      <c r="A5" s="441" t="s">
        <v>2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</row>
    <row r="6" spans="1:11" s="6" customFormat="1" ht="14.45" customHeight="1" x14ac:dyDescent="0.2">
      <c r="A6" s="7" t="s">
        <v>3</v>
      </c>
      <c r="B6" s="7" t="s">
        <v>4</v>
      </c>
      <c r="C6" s="7">
        <v>2012</v>
      </c>
      <c r="D6" s="7">
        <v>2013</v>
      </c>
      <c r="E6" s="7">
        <v>2014</v>
      </c>
      <c r="F6" s="7">
        <v>2015</v>
      </c>
      <c r="G6" s="7">
        <v>2016</v>
      </c>
      <c r="H6" s="7">
        <v>2017</v>
      </c>
      <c r="I6" s="7">
        <v>2018</v>
      </c>
      <c r="J6" s="8">
        <v>2019</v>
      </c>
      <c r="K6" s="8">
        <v>2020</v>
      </c>
    </row>
    <row r="7" spans="1:11" ht="14.45" customHeight="1" x14ac:dyDescent="0.2">
      <c r="A7" s="9" t="s">
        <v>5</v>
      </c>
      <c r="B7" s="10" t="s">
        <v>6</v>
      </c>
      <c r="C7" s="11" t="s">
        <v>7</v>
      </c>
      <c r="D7" s="11" t="s">
        <v>7</v>
      </c>
      <c r="E7" s="11" t="s">
        <v>7</v>
      </c>
      <c r="F7" s="11">
        <v>54</v>
      </c>
      <c r="G7" s="11">
        <v>109</v>
      </c>
      <c r="H7" s="11" t="s">
        <v>7</v>
      </c>
      <c r="I7" s="11">
        <v>0</v>
      </c>
      <c r="J7" s="11" t="s">
        <v>7</v>
      </c>
      <c r="K7" s="11" t="s">
        <v>7</v>
      </c>
    </row>
    <row r="8" spans="1:11" ht="14.45" customHeight="1" x14ac:dyDescent="0.2">
      <c r="A8" s="12" t="s">
        <v>8</v>
      </c>
      <c r="B8" s="13" t="s">
        <v>9</v>
      </c>
      <c r="C8" s="14">
        <v>270</v>
      </c>
      <c r="D8" s="14" t="s">
        <v>7</v>
      </c>
      <c r="E8" s="14" t="s">
        <v>7</v>
      </c>
      <c r="F8" s="14" t="s">
        <v>7</v>
      </c>
      <c r="G8" s="14" t="s">
        <v>7</v>
      </c>
      <c r="H8" s="14" t="s">
        <v>7</v>
      </c>
      <c r="I8" s="14" t="s">
        <v>7</v>
      </c>
      <c r="J8" s="14" t="s">
        <v>7</v>
      </c>
      <c r="K8" s="14" t="s">
        <v>7</v>
      </c>
    </row>
    <row r="9" spans="1:11" ht="14.45" customHeight="1" x14ac:dyDescent="0.2">
      <c r="A9" s="9" t="s">
        <v>10</v>
      </c>
      <c r="B9" s="10" t="s">
        <v>11</v>
      </c>
      <c r="C9" s="11" t="s">
        <v>7</v>
      </c>
      <c r="D9" s="11" t="s">
        <v>7</v>
      </c>
      <c r="E9" s="11" t="s">
        <v>7</v>
      </c>
      <c r="F9" s="11" t="s">
        <v>7</v>
      </c>
      <c r="G9" s="11" t="s">
        <v>7</v>
      </c>
      <c r="H9" s="11" t="s">
        <v>7</v>
      </c>
      <c r="I9" s="11">
        <v>81</v>
      </c>
      <c r="J9" s="11">
        <v>63.22</v>
      </c>
      <c r="K9" s="11" t="s">
        <v>7</v>
      </c>
    </row>
    <row r="10" spans="1:11" ht="14.45" customHeight="1" x14ac:dyDescent="0.2">
      <c r="A10" s="439" t="s">
        <v>12</v>
      </c>
      <c r="B10" s="439"/>
      <c r="C10" s="16">
        <v>270</v>
      </c>
      <c r="D10" s="16">
        <v>0</v>
      </c>
      <c r="E10" s="16">
        <v>0</v>
      </c>
      <c r="F10" s="16">
        <v>54</v>
      </c>
      <c r="G10" s="16">
        <v>109</v>
      </c>
      <c r="H10" s="16">
        <v>0</v>
      </c>
      <c r="I10" s="16">
        <v>81</v>
      </c>
      <c r="J10" s="16">
        <v>63.22</v>
      </c>
      <c r="K10" s="16">
        <f>SUM(K7:K9)</f>
        <v>0</v>
      </c>
    </row>
    <row r="11" spans="1:11" ht="14.45" customHeight="1" x14ac:dyDescent="0.2">
      <c r="A11" s="9" t="s">
        <v>13</v>
      </c>
      <c r="B11" s="10" t="s">
        <v>14</v>
      </c>
      <c r="C11" s="11" t="s">
        <v>7</v>
      </c>
      <c r="D11" s="11" t="s">
        <v>7</v>
      </c>
      <c r="E11" s="11">
        <v>262</v>
      </c>
      <c r="F11" s="11" t="s">
        <v>7</v>
      </c>
      <c r="G11" s="11" t="s">
        <v>7</v>
      </c>
      <c r="H11" s="11" t="s">
        <v>7</v>
      </c>
      <c r="I11" s="11" t="s">
        <v>7</v>
      </c>
      <c r="J11" s="11" t="s">
        <v>7</v>
      </c>
      <c r="K11" s="11" t="s">
        <v>7</v>
      </c>
    </row>
    <row r="12" spans="1:11" ht="14.45" customHeight="1" x14ac:dyDescent="0.2">
      <c r="A12" s="17" t="s">
        <v>15</v>
      </c>
      <c r="B12" s="18" t="s">
        <v>16</v>
      </c>
      <c r="C12" s="19" t="s">
        <v>7</v>
      </c>
      <c r="D12" s="19" t="s">
        <v>7</v>
      </c>
      <c r="E12" s="19" t="s">
        <v>7</v>
      </c>
      <c r="F12" s="19" t="s">
        <v>7</v>
      </c>
      <c r="G12" s="19" t="s">
        <v>7</v>
      </c>
      <c r="H12" s="19" t="s">
        <v>7</v>
      </c>
      <c r="I12" s="19" t="s">
        <v>7</v>
      </c>
      <c r="J12" s="19" t="s">
        <v>7</v>
      </c>
      <c r="K12" s="19" t="s">
        <v>7</v>
      </c>
    </row>
    <row r="13" spans="1:11" ht="14.45" customHeight="1" x14ac:dyDescent="0.2">
      <c r="A13" s="9" t="s">
        <v>15</v>
      </c>
      <c r="B13" s="10" t="s">
        <v>17</v>
      </c>
      <c r="C13" s="11" t="s">
        <v>7</v>
      </c>
      <c r="D13" s="11" t="s">
        <v>7</v>
      </c>
      <c r="E13" s="11" t="s">
        <v>7</v>
      </c>
      <c r="F13" s="11" t="s">
        <v>7</v>
      </c>
      <c r="G13" s="11" t="s">
        <v>7</v>
      </c>
      <c r="H13" s="11" t="s">
        <v>7</v>
      </c>
      <c r="I13" s="11" t="s">
        <v>7</v>
      </c>
      <c r="J13" s="11" t="s">
        <v>7</v>
      </c>
      <c r="K13" s="11" t="s">
        <v>7</v>
      </c>
    </row>
    <row r="14" spans="1:11" ht="14.45" customHeight="1" x14ac:dyDescent="0.2">
      <c r="A14" s="17" t="s">
        <v>15</v>
      </c>
      <c r="B14" s="18" t="s">
        <v>18</v>
      </c>
      <c r="C14" s="19" t="s">
        <v>7</v>
      </c>
      <c r="D14" s="19" t="s">
        <v>7</v>
      </c>
      <c r="E14" s="19" t="s">
        <v>7</v>
      </c>
      <c r="F14" s="19" t="s">
        <v>7</v>
      </c>
      <c r="G14" s="19" t="s">
        <v>7</v>
      </c>
      <c r="H14" s="19" t="s">
        <v>7</v>
      </c>
      <c r="I14" s="19" t="s">
        <v>7</v>
      </c>
      <c r="J14" s="19" t="s">
        <v>7</v>
      </c>
      <c r="K14" s="19" t="s">
        <v>7</v>
      </c>
    </row>
    <row r="15" spans="1:11" ht="14.45" customHeight="1" x14ac:dyDescent="0.2">
      <c r="A15" s="9" t="s">
        <v>19</v>
      </c>
      <c r="B15" s="10" t="s">
        <v>20</v>
      </c>
      <c r="C15" s="11" t="s">
        <v>7</v>
      </c>
      <c r="D15" s="11" t="s">
        <v>7</v>
      </c>
      <c r="E15" s="11">
        <v>1031</v>
      </c>
      <c r="F15" s="11">
        <v>5614</v>
      </c>
      <c r="G15" s="11" t="s">
        <v>7</v>
      </c>
      <c r="H15" s="11" t="s">
        <v>7</v>
      </c>
      <c r="I15" s="11" t="s">
        <v>7</v>
      </c>
      <c r="J15" s="11" t="s">
        <v>7</v>
      </c>
      <c r="K15" s="11" t="s">
        <v>7</v>
      </c>
    </row>
    <row r="16" spans="1:11" ht="14.45" customHeight="1" x14ac:dyDescent="0.2">
      <c r="A16" s="439" t="s">
        <v>21</v>
      </c>
      <c r="B16" s="439"/>
      <c r="C16" s="16">
        <v>0</v>
      </c>
      <c r="D16" s="16">
        <v>0</v>
      </c>
      <c r="E16" s="16">
        <v>1292</v>
      </c>
      <c r="F16" s="16">
        <v>5614</v>
      </c>
      <c r="G16" s="16">
        <v>0</v>
      </c>
      <c r="H16" s="16">
        <v>0</v>
      </c>
      <c r="I16" s="16">
        <v>0</v>
      </c>
      <c r="J16" s="16">
        <v>0</v>
      </c>
      <c r="K16" s="16">
        <f>SUM(K11:K15)</f>
        <v>0</v>
      </c>
    </row>
    <row r="17" spans="1:12" ht="14.45" customHeight="1" x14ac:dyDescent="0.2">
      <c r="A17" s="9" t="s">
        <v>22</v>
      </c>
      <c r="B17" s="10">
        <v>107</v>
      </c>
      <c r="C17" s="11" t="s">
        <v>7</v>
      </c>
      <c r="D17" s="11" t="s">
        <v>7</v>
      </c>
      <c r="E17" s="11">
        <v>236</v>
      </c>
      <c r="F17" s="11">
        <v>74</v>
      </c>
      <c r="G17" s="11" t="s">
        <v>7</v>
      </c>
      <c r="H17" s="11" t="s">
        <v>7</v>
      </c>
      <c r="I17" s="11" t="s">
        <v>7</v>
      </c>
      <c r="J17" s="11" t="s">
        <v>7</v>
      </c>
      <c r="K17" s="11" t="s">
        <v>7</v>
      </c>
    </row>
    <row r="18" spans="1:12" ht="14.45" customHeight="1" x14ac:dyDescent="0.2">
      <c r="A18" s="17" t="s">
        <v>23</v>
      </c>
      <c r="B18" s="18">
        <v>121</v>
      </c>
      <c r="C18" s="19">
        <v>250</v>
      </c>
      <c r="D18" s="19" t="s">
        <v>7</v>
      </c>
      <c r="E18" s="19" t="s">
        <v>7</v>
      </c>
      <c r="F18" s="19" t="s">
        <v>7</v>
      </c>
      <c r="G18" s="19" t="s">
        <v>7</v>
      </c>
      <c r="H18" s="19" t="s">
        <v>7</v>
      </c>
      <c r="I18" s="19" t="s">
        <v>7</v>
      </c>
      <c r="J18" s="19" t="s">
        <v>7</v>
      </c>
      <c r="K18" s="19" t="s">
        <v>7</v>
      </c>
    </row>
    <row r="19" spans="1:12" ht="14.45" customHeight="1" x14ac:dyDescent="0.2">
      <c r="A19" s="9" t="s">
        <v>24</v>
      </c>
      <c r="B19" s="10">
        <v>123</v>
      </c>
      <c r="C19" s="11">
        <v>310</v>
      </c>
      <c r="D19" s="11" t="s">
        <v>7</v>
      </c>
      <c r="E19" s="11" t="s">
        <v>7</v>
      </c>
      <c r="F19" s="11" t="s">
        <v>7</v>
      </c>
      <c r="G19" s="11" t="s">
        <v>7</v>
      </c>
      <c r="H19" s="11" t="s">
        <v>7</v>
      </c>
      <c r="I19" s="11" t="s">
        <v>7</v>
      </c>
      <c r="J19" s="11" t="s">
        <v>7</v>
      </c>
      <c r="K19" s="11" t="s">
        <v>7</v>
      </c>
      <c r="L19" s="20"/>
    </row>
    <row r="20" spans="1:12" ht="14.45" customHeight="1" x14ac:dyDescent="0.2">
      <c r="A20" s="17" t="s">
        <v>24</v>
      </c>
      <c r="B20" s="18">
        <v>129</v>
      </c>
      <c r="C20" s="19">
        <v>252</v>
      </c>
      <c r="D20" s="19" t="s">
        <v>7</v>
      </c>
      <c r="E20" s="19" t="s">
        <v>7</v>
      </c>
      <c r="F20" s="19" t="s">
        <v>7</v>
      </c>
      <c r="G20" s="19" t="s">
        <v>7</v>
      </c>
      <c r="H20" s="19" t="s">
        <v>7</v>
      </c>
      <c r="I20" s="19" t="s">
        <v>7</v>
      </c>
      <c r="J20" s="19" t="s">
        <v>7</v>
      </c>
      <c r="K20" s="19" t="s">
        <v>7</v>
      </c>
      <c r="L20" s="20"/>
    </row>
    <row r="21" spans="1:12" ht="14.45" customHeight="1" x14ac:dyDescent="0.2">
      <c r="A21" s="9" t="s">
        <v>22</v>
      </c>
      <c r="B21" s="10">
        <v>133</v>
      </c>
      <c r="C21" s="11" t="s">
        <v>7</v>
      </c>
      <c r="D21" s="11" t="s">
        <v>7</v>
      </c>
      <c r="E21" s="11" t="s">
        <v>7</v>
      </c>
      <c r="F21" s="11" t="s">
        <v>7</v>
      </c>
      <c r="G21" s="11" t="s">
        <v>7</v>
      </c>
      <c r="H21" s="11" t="s">
        <v>7</v>
      </c>
      <c r="I21" s="11" t="s">
        <v>7</v>
      </c>
      <c r="J21" s="11" t="s">
        <v>7</v>
      </c>
      <c r="K21" s="11" t="s">
        <v>7</v>
      </c>
    </row>
    <row r="22" spans="1:12" ht="14.45" customHeight="1" x14ac:dyDescent="0.2">
      <c r="A22" s="17" t="s">
        <v>25</v>
      </c>
      <c r="B22" s="18">
        <v>95</v>
      </c>
      <c r="C22" s="19" t="s">
        <v>7</v>
      </c>
      <c r="D22" s="19">
        <v>380</v>
      </c>
      <c r="E22" s="19" t="s">
        <v>7</v>
      </c>
      <c r="F22" s="19" t="s">
        <v>7</v>
      </c>
      <c r="G22" s="19" t="s">
        <v>7</v>
      </c>
      <c r="H22" s="19" t="s">
        <v>7</v>
      </c>
      <c r="I22" s="19" t="s">
        <v>7</v>
      </c>
      <c r="J22" s="19" t="s">
        <v>7</v>
      </c>
      <c r="K22" s="19" t="s">
        <v>7</v>
      </c>
    </row>
    <row r="23" spans="1:12" ht="14.45" customHeight="1" x14ac:dyDescent="0.2">
      <c r="A23" s="9" t="s">
        <v>26</v>
      </c>
      <c r="B23" s="10">
        <v>58</v>
      </c>
      <c r="C23" s="11" t="s">
        <v>7</v>
      </c>
      <c r="D23" s="11" t="s">
        <v>7</v>
      </c>
      <c r="E23" s="11" t="s">
        <v>7</v>
      </c>
      <c r="F23" s="11">
        <v>374</v>
      </c>
      <c r="G23" s="11" t="s">
        <v>7</v>
      </c>
      <c r="H23" s="11" t="s">
        <v>7</v>
      </c>
      <c r="I23" s="11">
        <v>232</v>
      </c>
      <c r="J23" s="11" t="s">
        <v>7</v>
      </c>
      <c r="K23" s="11" t="s">
        <v>7</v>
      </c>
    </row>
    <row r="24" spans="1:12" ht="14.45" customHeight="1" x14ac:dyDescent="0.2">
      <c r="A24" s="17" t="s">
        <v>27</v>
      </c>
      <c r="B24" s="18">
        <v>114</v>
      </c>
      <c r="C24" s="19">
        <v>234</v>
      </c>
      <c r="D24" s="19" t="s">
        <v>7</v>
      </c>
      <c r="E24" s="19" t="s">
        <v>7</v>
      </c>
      <c r="F24" s="19" t="s">
        <v>7</v>
      </c>
      <c r="G24" s="19" t="s">
        <v>7</v>
      </c>
      <c r="H24" s="19" t="s">
        <v>7</v>
      </c>
      <c r="I24" s="19" t="s">
        <v>7</v>
      </c>
      <c r="J24" s="19" t="s">
        <v>7</v>
      </c>
      <c r="K24" s="19" t="s">
        <v>7</v>
      </c>
    </row>
    <row r="25" spans="1:12" ht="14.45" customHeight="1" x14ac:dyDescent="0.2">
      <c r="A25" s="9" t="s">
        <v>28</v>
      </c>
      <c r="B25" s="10">
        <v>135</v>
      </c>
      <c r="C25" s="11">
        <v>17</v>
      </c>
      <c r="D25" s="11">
        <v>771.2</v>
      </c>
      <c r="E25" s="11" t="s">
        <v>7</v>
      </c>
      <c r="F25" s="11" t="s">
        <v>7</v>
      </c>
      <c r="G25" s="11" t="s">
        <v>7</v>
      </c>
      <c r="H25" s="11" t="s">
        <v>7</v>
      </c>
      <c r="I25" s="11" t="s">
        <v>7</v>
      </c>
      <c r="J25" s="11" t="s">
        <v>7</v>
      </c>
      <c r="K25" s="11" t="s">
        <v>7</v>
      </c>
    </row>
    <row r="26" spans="1:12" ht="14.45" customHeight="1" x14ac:dyDescent="0.2">
      <c r="A26" s="17" t="s">
        <v>29</v>
      </c>
      <c r="B26" s="18">
        <v>88</v>
      </c>
      <c r="C26" s="19" t="s">
        <v>7</v>
      </c>
      <c r="D26" s="19" t="s">
        <v>7</v>
      </c>
      <c r="E26" s="19">
        <v>189</v>
      </c>
      <c r="F26" s="19" t="s">
        <v>7</v>
      </c>
      <c r="G26" s="19" t="s">
        <v>7</v>
      </c>
      <c r="H26" s="19" t="s">
        <v>7</v>
      </c>
      <c r="I26" s="19" t="s">
        <v>7</v>
      </c>
      <c r="J26" s="19" t="s">
        <v>7</v>
      </c>
      <c r="K26" s="19" t="s">
        <v>7</v>
      </c>
    </row>
    <row r="27" spans="1:12" ht="14.45" customHeight="1" x14ac:dyDescent="0.2">
      <c r="A27" s="9" t="s">
        <v>29</v>
      </c>
      <c r="B27" s="10">
        <v>108</v>
      </c>
      <c r="C27" s="11" t="s">
        <v>7</v>
      </c>
      <c r="D27" s="11" t="s">
        <v>7</v>
      </c>
      <c r="E27" s="11">
        <v>180</v>
      </c>
      <c r="F27" s="11">
        <v>311</v>
      </c>
      <c r="G27" s="11" t="s">
        <v>7</v>
      </c>
      <c r="H27" s="11" t="s">
        <v>7</v>
      </c>
      <c r="I27" s="11" t="s">
        <v>7</v>
      </c>
      <c r="J27" s="11" t="s">
        <v>7</v>
      </c>
      <c r="K27" s="11" t="s">
        <v>7</v>
      </c>
    </row>
    <row r="28" spans="1:12" ht="14.45" customHeight="1" x14ac:dyDescent="0.2">
      <c r="A28" s="17" t="s">
        <v>30</v>
      </c>
      <c r="B28" s="18">
        <v>57</v>
      </c>
      <c r="C28" s="19" t="s">
        <v>7</v>
      </c>
      <c r="D28" s="19" t="s">
        <v>7</v>
      </c>
      <c r="E28" s="19">
        <v>140</v>
      </c>
      <c r="F28" s="19" t="s">
        <v>7</v>
      </c>
      <c r="G28" s="19" t="s">
        <v>7</v>
      </c>
      <c r="H28" s="19" t="s">
        <v>7</v>
      </c>
      <c r="I28" s="19" t="s">
        <v>7</v>
      </c>
      <c r="J28" s="19" t="s">
        <v>7</v>
      </c>
      <c r="K28" s="19" t="s">
        <v>7</v>
      </c>
    </row>
    <row r="29" spans="1:12" ht="14.45" customHeight="1" x14ac:dyDescent="0.2">
      <c r="A29" s="439" t="s">
        <v>31</v>
      </c>
      <c r="B29" s="439"/>
      <c r="C29" s="16">
        <v>1063</v>
      </c>
      <c r="D29" s="16">
        <v>1150.7</v>
      </c>
      <c r="E29" s="16">
        <v>744</v>
      </c>
      <c r="F29" s="16">
        <v>758</v>
      </c>
      <c r="G29" s="16">
        <v>0</v>
      </c>
      <c r="H29" s="16">
        <v>0</v>
      </c>
      <c r="I29" s="16">
        <v>232</v>
      </c>
      <c r="J29" s="16">
        <v>0</v>
      </c>
      <c r="K29" s="16">
        <f>SUM(K17:K28)</f>
        <v>0</v>
      </c>
    </row>
    <row r="30" spans="1:12" ht="14.45" customHeight="1" x14ac:dyDescent="0.2">
      <c r="A30" s="432" t="s">
        <v>32</v>
      </c>
      <c r="B30" s="432"/>
      <c r="C30" s="22">
        <f>+C10+C16+C29</f>
        <v>1333</v>
      </c>
      <c r="D30" s="22">
        <f t="shared" ref="D30:K30" si="0">+D10+D16+D29</f>
        <v>1150.7</v>
      </c>
      <c r="E30" s="22">
        <f t="shared" si="0"/>
        <v>2036</v>
      </c>
      <c r="F30" s="22">
        <f t="shared" si="0"/>
        <v>6426</v>
      </c>
      <c r="G30" s="22">
        <f t="shared" si="0"/>
        <v>109</v>
      </c>
      <c r="H30" s="22">
        <f t="shared" si="0"/>
        <v>0</v>
      </c>
      <c r="I30" s="22">
        <f t="shared" si="0"/>
        <v>313</v>
      </c>
      <c r="J30" s="22">
        <f t="shared" si="0"/>
        <v>63.22</v>
      </c>
      <c r="K30" s="22">
        <f t="shared" si="0"/>
        <v>0</v>
      </c>
    </row>
    <row r="32" spans="1:12" ht="14.45" customHeight="1" x14ac:dyDescent="0.2">
      <c r="A32" s="1" t="s">
        <v>33</v>
      </c>
    </row>
    <row r="36" spans="1:20" ht="14.45" customHeight="1" thickBot="1" x14ac:dyDescent="0.25">
      <c r="A36" s="23" t="s">
        <v>34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20" ht="14.45" customHeight="1" thickBot="1" x14ac:dyDescent="0.25">
      <c r="A37" s="24"/>
      <c r="B37" s="433" t="s">
        <v>35</v>
      </c>
      <c r="C37" s="434"/>
      <c r="D37" s="434"/>
      <c r="E37" s="434"/>
      <c r="F37" s="434"/>
      <c r="G37" s="435"/>
      <c r="H37" s="25"/>
      <c r="I37" s="24"/>
      <c r="J37" s="5"/>
      <c r="K37" s="5"/>
    </row>
    <row r="38" spans="1:20" ht="31.15" customHeight="1" thickBot="1" x14ac:dyDescent="0.25">
      <c r="A38" s="26" t="s">
        <v>4</v>
      </c>
      <c r="B38" s="27">
        <v>2021</v>
      </c>
      <c r="C38" s="28">
        <v>2022</v>
      </c>
      <c r="D38" s="28">
        <v>2023</v>
      </c>
      <c r="E38" s="28">
        <v>2024</v>
      </c>
      <c r="F38" s="28">
        <v>2025</v>
      </c>
      <c r="G38" s="29" t="s">
        <v>36</v>
      </c>
      <c r="I38" s="1"/>
      <c r="J38" s="1"/>
      <c r="K38" s="3"/>
      <c r="L38" s="3"/>
      <c r="M38" s="3"/>
      <c r="N38" s="436" t="s">
        <v>37</v>
      </c>
      <c r="O38" s="436"/>
      <c r="P38" s="436"/>
      <c r="Q38" s="436"/>
      <c r="R38" s="436"/>
      <c r="S38" s="436"/>
      <c r="T38" s="436"/>
    </row>
    <row r="39" spans="1:20" ht="14.45" customHeight="1" x14ac:dyDescent="0.2">
      <c r="A39" s="30" t="s">
        <v>38</v>
      </c>
      <c r="B39" s="31" t="s">
        <v>7</v>
      </c>
      <c r="C39" s="32" t="s">
        <v>7</v>
      </c>
      <c r="D39" s="32" t="s">
        <v>7</v>
      </c>
      <c r="E39" s="32" t="s">
        <v>7</v>
      </c>
      <c r="F39" s="32" t="s">
        <v>7</v>
      </c>
      <c r="G39" s="33">
        <f t="shared" ref="G39:G50" si="1">+SUM(B39,C39,D39,E39,F39)</f>
        <v>0</v>
      </c>
      <c r="I39" s="1"/>
      <c r="J39" s="2"/>
      <c r="K39" s="3"/>
      <c r="L39" s="3"/>
      <c r="M39" s="3"/>
      <c r="N39" s="3"/>
      <c r="O39" s="3"/>
      <c r="P39" s="3"/>
      <c r="Q39" s="3"/>
      <c r="R39" s="4"/>
    </row>
    <row r="40" spans="1:20" ht="14.45" customHeight="1" x14ac:dyDescent="0.2">
      <c r="A40" s="34" t="s">
        <v>6</v>
      </c>
      <c r="B40" s="35" t="s">
        <v>7</v>
      </c>
      <c r="C40" s="36" t="s">
        <v>7</v>
      </c>
      <c r="D40" s="36" t="s">
        <v>7</v>
      </c>
      <c r="E40" s="36" t="s">
        <v>7</v>
      </c>
      <c r="F40" s="36" t="s">
        <v>7</v>
      </c>
      <c r="G40" s="37">
        <f t="shared" si="1"/>
        <v>0</v>
      </c>
      <c r="I40" s="1"/>
      <c r="J40" s="2" t="s">
        <v>39</v>
      </c>
      <c r="K40" s="5"/>
      <c r="L40" s="38">
        <f>SUM(H30:K30)</f>
        <v>376.22</v>
      </c>
      <c r="M40" s="3"/>
      <c r="N40" s="3"/>
      <c r="O40" s="3"/>
      <c r="P40" s="3"/>
      <c r="Q40" s="3"/>
      <c r="R40" s="4"/>
    </row>
    <row r="41" spans="1:20" ht="14.45" customHeight="1" x14ac:dyDescent="0.2">
      <c r="A41" s="34" t="s">
        <v>40</v>
      </c>
      <c r="B41" s="35" t="s">
        <v>7</v>
      </c>
      <c r="C41" s="36" t="s">
        <v>7</v>
      </c>
      <c r="D41" s="36" t="s">
        <v>7</v>
      </c>
      <c r="E41" s="36" t="s">
        <v>7</v>
      </c>
      <c r="F41" s="36" t="s">
        <v>7</v>
      </c>
      <c r="G41" s="37">
        <f t="shared" si="1"/>
        <v>0</v>
      </c>
      <c r="I41" s="1"/>
      <c r="J41" s="2">
        <v>2021</v>
      </c>
      <c r="K41" s="5"/>
      <c r="L41" s="38">
        <f>+B51</f>
        <v>0</v>
      </c>
      <c r="M41" s="3"/>
      <c r="N41" s="3"/>
      <c r="O41" s="3"/>
      <c r="P41" s="3"/>
      <c r="Q41" s="3"/>
      <c r="R41" s="4"/>
    </row>
    <row r="42" spans="1:20" ht="14.45" customHeight="1" x14ac:dyDescent="0.2">
      <c r="A42" s="34" t="s">
        <v>41</v>
      </c>
      <c r="B42" s="35" t="s">
        <v>7</v>
      </c>
      <c r="C42" s="36">
        <v>130</v>
      </c>
      <c r="D42" s="36" t="s">
        <v>7</v>
      </c>
      <c r="E42" s="36" t="s">
        <v>7</v>
      </c>
      <c r="F42" s="36" t="s">
        <v>7</v>
      </c>
      <c r="G42" s="37">
        <f t="shared" si="1"/>
        <v>130</v>
      </c>
      <c r="I42" s="1"/>
      <c r="J42" s="2">
        <v>2022</v>
      </c>
      <c r="K42" s="5"/>
      <c r="L42" s="38">
        <f>+C51</f>
        <v>430</v>
      </c>
      <c r="M42" s="3"/>
      <c r="N42" s="3"/>
      <c r="O42" s="3"/>
      <c r="P42" s="3"/>
      <c r="Q42" s="3"/>
      <c r="R42" s="4"/>
    </row>
    <row r="43" spans="1:20" ht="14.45" customHeight="1" x14ac:dyDescent="0.2">
      <c r="A43" s="34" t="s">
        <v>16</v>
      </c>
      <c r="B43" s="35" t="s">
        <v>7</v>
      </c>
      <c r="C43" s="36" t="s">
        <v>7</v>
      </c>
      <c r="D43" s="36" t="s">
        <v>7</v>
      </c>
      <c r="E43" s="36" t="s">
        <v>7</v>
      </c>
      <c r="F43" s="36" t="s">
        <v>7</v>
      </c>
      <c r="G43" s="37">
        <f t="shared" si="1"/>
        <v>0</v>
      </c>
      <c r="I43" s="1"/>
      <c r="J43" s="2">
        <v>2023</v>
      </c>
      <c r="K43" s="5"/>
      <c r="L43" s="38">
        <f>+D51</f>
        <v>2000</v>
      </c>
      <c r="M43" s="3"/>
      <c r="N43" s="3"/>
      <c r="O43" s="3"/>
      <c r="P43" s="3"/>
      <c r="Q43" s="3"/>
      <c r="R43" s="4"/>
    </row>
    <row r="44" spans="1:20" ht="14.45" customHeight="1" x14ac:dyDescent="0.2">
      <c r="A44" s="34" t="s">
        <v>17</v>
      </c>
      <c r="B44" s="35" t="s">
        <v>7</v>
      </c>
      <c r="C44" s="36" t="s">
        <v>7</v>
      </c>
      <c r="D44" s="36" t="s">
        <v>7</v>
      </c>
      <c r="E44" s="36" t="s">
        <v>7</v>
      </c>
      <c r="F44" s="36" t="s">
        <v>7</v>
      </c>
      <c r="G44" s="37">
        <f t="shared" si="1"/>
        <v>0</v>
      </c>
      <c r="I44" s="1"/>
      <c r="J44" s="2">
        <v>2024</v>
      </c>
      <c r="K44" s="5"/>
      <c r="L44" s="38">
        <f>+E51</f>
        <v>1000</v>
      </c>
      <c r="M44" s="3"/>
      <c r="N44" s="3"/>
      <c r="O44" s="3"/>
      <c r="P44" s="3"/>
      <c r="Q44" s="3"/>
      <c r="R44" s="4"/>
    </row>
    <row r="45" spans="1:20" ht="14.45" customHeight="1" x14ac:dyDescent="0.2">
      <c r="A45" s="34" t="s">
        <v>18</v>
      </c>
      <c r="B45" s="35" t="s">
        <v>7</v>
      </c>
      <c r="C45" s="36" t="s">
        <v>7</v>
      </c>
      <c r="D45" s="36" t="s">
        <v>7</v>
      </c>
      <c r="E45" s="36" t="s">
        <v>7</v>
      </c>
      <c r="F45" s="36" t="s">
        <v>7</v>
      </c>
      <c r="G45" s="37">
        <f t="shared" si="1"/>
        <v>0</v>
      </c>
      <c r="I45" s="1"/>
      <c r="J45" s="2">
        <v>2025</v>
      </c>
      <c r="K45" s="3"/>
      <c r="L45" s="39">
        <f>+F51</f>
        <v>0</v>
      </c>
      <c r="M45" s="3"/>
      <c r="N45" s="3"/>
      <c r="O45" s="3"/>
      <c r="P45" s="3"/>
      <c r="Q45" s="3"/>
      <c r="R45" s="4"/>
    </row>
    <row r="46" spans="1:20" ht="14.45" customHeight="1" x14ac:dyDescent="0.2">
      <c r="A46" s="34" t="s">
        <v>42</v>
      </c>
      <c r="B46" s="35" t="s">
        <v>7</v>
      </c>
      <c r="C46" s="36">
        <v>200</v>
      </c>
      <c r="D46" s="36" t="s">
        <v>7</v>
      </c>
      <c r="E46" s="36" t="s">
        <v>7</v>
      </c>
      <c r="F46" s="36" t="s">
        <v>7</v>
      </c>
      <c r="G46" s="37">
        <f t="shared" si="1"/>
        <v>200</v>
      </c>
      <c r="I46" s="1"/>
      <c r="J46" s="2" t="s">
        <v>43</v>
      </c>
      <c r="K46" s="5"/>
      <c r="L46" s="38">
        <f>+SUM(L41:L45)</f>
        <v>3430</v>
      </c>
      <c r="M46" s="3"/>
      <c r="N46" s="3"/>
      <c r="O46" s="3"/>
      <c r="P46" s="3"/>
      <c r="Q46" s="3"/>
      <c r="R46" s="4"/>
    </row>
    <row r="47" spans="1:20" ht="14.45" customHeight="1" x14ac:dyDescent="0.2">
      <c r="A47" s="34" t="s">
        <v>44</v>
      </c>
      <c r="B47" s="35" t="s">
        <v>7</v>
      </c>
      <c r="C47" s="36" t="s">
        <v>7</v>
      </c>
      <c r="D47" s="36">
        <v>1000</v>
      </c>
      <c r="E47" s="36">
        <v>500</v>
      </c>
      <c r="F47" s="36" t="s">
        <v>7</v>
      </c>
      <c r="G47" s="37">
        <f t="shared" si="1"/>
        <v>1500</v>
      </c>
      <c r="I47" s="1"/>
      <c r="J47" s="2"/>
      <c r="K47" s="3"/>
      <c r="L47" s="3"/>
      <c r="M47" s="3"/>
      <c r="N47" s="3"/>
      <c r="O47" s="3"/>
      <c r="P47" s="3"/>
      <c r="Q47" s="3"/>
      <c r="R47" s="4"/>
    </row>
    <row r="48" spans="1:20" ht="14.45" customHeight="1" x14ac:dyDescent="0.2">
      <c r="A48" s="34" t="s">
        <v>45</v>
      </c>
      <c r="B48" s="35" t="s">
        <v>7</v>
      </c>
      <c r="C48" s="36" t="s">
        <v>7</v>
      </c>
      <c r="D48" s="36">
        <v>1000</v>
      </c>
      <c r="E48" s="36">
        <v>500</v>
      </c>
      <c r="F48" s="36" t="s">
        <v>7</v>
      </c>
      <c r="G48" s="37">
        <f t="shared" si="1"/>
        <v>1500</v>
      </c>
      <c r="I48" s="1"/>
      <c r="J48" s="2"/>
      <c r="K48" s="3"/>
      <c r="L48" s="3"/>
      <c r="M48" s="3"/>
      <c r="N48" s="3"/>
      <c r="O48" s="3"/>
      <c r="P48" s="3"/>
      <c r="Q48" s="3"/>
      <c r="R48" s="4"/>
    </row>
    <row r="49" spans="1:20" ht="14.45" customHeight="1" x14ac:dyDescent="0.2">
      <c r="A49" s="34" t="s">
        <v>46</v>
      </c>
      <c r="B49" s="35" t="s">
        <v>7</v>
      </c>
      <c r="C49" s="36">
        <v>100</v>
      </c>
      <c r="D49" s="36" t="s">
        <v>7</v>
      </c>
      <c r="E49" s="36" t="s">
        <v>7</v>
      </c>
      <c r="F49" s="36" t="s">
        <v>7</v>
      </c>
      <c r="G49" s="37">
        <f t="shared" si="1"/>
        <v>100</v>
      </c>
      <c r="I49" s="1"/>
      <c r="J49" s="2"/>
      <c r="K49" s="3"/>
      <c r="L49" s="3"/>
      <c r="M49" s="3"/>
      <c r="N49" s="3"/>
      <c r="O49" s="3"/>
      <c r="P49" s="3"/>
      <c r="Q49" s="3"/>
      <c r="R49" s="4"/>
    </row>
    <row r="50" spans="1:20" ht="14.45" customHeight="1" thickBot="1" x14ac:dyDescent="0.25">
      <c r="A50" s="40">
        <v>107</v>
      </c>
      <c r="B50" s="41" t="s">
        <v>7</v>
      </c>
      <c r="C50" s="42" t="s">
        <v>7</v>
      </c>
      <c r="D50" s="42" t="s">
        <v>7</v>
      </c>
      <c r="E50" s="42" t="s">
        <v>7</v>
      </c>
      <c r="F50" s="42" t="s">
        <v>7</v>
      </c>
      <c r="G50" s="43">
        <f t="shared" si="1"/>
        <v>0</v>
      </c>
      <c r="I50" s="1"/>
      <c r="J50" s="2"/>
      <c r="K50" s="3"/>
      <c r="L50" s="3"/>
      <c r="M50" s="3"/>
      <c r="N50" s="3"/>
      <c r="O50" s="3"/>
      <c r="P50" s="3"/>
      <c r="Q50" s="3"/>
      <c r="R50" s="4"/>
    </row>
    <row r="51" spans="1:20" ht="14.45" customHeight="1" thickBot="1" x14ac:dyDescent="0.25">
      <c r="A51" s="44" t="s">
        <v>47</v>
      </c>
      <c r="B51" s="45">
        <f>+SUM(B39:B50)</f>
        <v>0</v>
      </c>
      <c r="C51" s="46">
        <f t="shared" ref="C51:G51" si="2">+SUM(C39:C50)</f>
        <v>430</v>
      </c>
      <c r="D51" s="46">
        <f t="shared" si="2"/>
        <v>2000</v>
      </c>
      <c r="E51" s="46">
        <f t="shared" si="2"/>
        <v>1000</v>
      </c>
      <c r="F51" s="46">
        <f t="shared" si="2"/>
        <v>0</v>
      </c>
      <c r="G51" s="47">
        <f t="shared" si="2"/>
        <v>3430</v>
      </c>
      <c r="I51" s="1"/>
      <c r="J51" s="2"/>
      <c r="K51" s="3"/>
      <c r="L51" s="3"/>
      <c r="M51" s="3"/>
      <c r="N51" s="3"/>
      <c r="O51" s="3"/>
      <c r="P51" s="3"/>
      <c r="Q51" s="3"/>
      <c r="R51" s="4"/>
    </row>
    <row r="52" spans="1:20" ht="14.45" customHeight="1" x14ac:dyDescent="0.2">
      <c r="A52" s="24"/>
      <c r="B52" s="24"/>
      <c r="C52" s="24"/>
      <c r="D52" s="24"/>
      <c r="E52" s="24"/>
      <c r="F52" s="24"/>
      <c r="G52" s="24"/>
      <c r="H52" s="24"/>
      <c r="I52" s="1"/>
      <c r="J52" s="2"/>
      <c r="K52" s="3"/>
      <c r="L52" s="3"/>
      <c r="M52" s="3"/>
      <c r="N52" s="3"/>
      <c r="O52" s="3"/>
      <c r="P52" s="3"/>
      <c r="Q52" s="3"/>
      <c r="R52" s="4"/>
    </row>
    <row r="53" spans="1:20" ht="14.45" customHeight="1" x14ac:dyDescent="0.2">
      <c r="A53" s="437"/>
      <c r="B53" s="437"/>
      <c r="C53" s="437"/>
      <c r="D53" s="437"/>
      <c r="E53" s="24"/>
      <c r="F53" s="24"/>
      <c r="G53" s="24"/>
      <c r="H53" s="24"/>
      <c r="I53" s="1"/>
      <c r="J53" s="2"/>
      <c r="K53" s="3"/>
      <c r="L53" s="3"/>
      <c r="M53" s="3"/>
      <c r="N53" s="3"/>
      <c r="O53" s="3"/>
      <c r="P53" s="3"/>
      <c r="Q53" s="3"/>
      <c r="R53" s="4"/>
    </row>
    <row r="54" spans="1:20" ht="14.45" customHeight="1" x14ac:dyDescent="0.2">
      <c r="A54" s="1" t="s">
        <v>33</v>
      </c>
      <c r="I54" s="1"/>
      <c r="J54" s="2"/>
      <c r="K54" s="3"/>
      <c r="L54" s="3"/>
      <c r="M54" s="3"/>
      <c r="N54" s="3"/>
      <c r="O54" s="3"/>
      <c r="P54" s="3"/>
      <c r="Q54" s="3"/>
      <c r="R54" s="4"/>
    </row>
    <row r="55" spans="1:20" ht="14.45" customHeight="1" x14ac:dyDescent="0.2">
      <c r="I55" s="1"/>
      <c r="J55" s="2"/>
      <c r="K55" s="3"/>
      <c r="L55" s="3"/>
      <c r="M55" s="3"/>
      <c r="N55" s="3"/>
      <c r="O55" s="3"/>
      <c r="P55" s="3"/>
      <c r="Q55" s="3"/>
      <c r="R55" s="4"/>
    </row>
    <row r="56" spans="1:20" ht="14.45" customHeight="1" x14ac:dyDescent="0.2">
      <c r="I56" s="1"/>
      <c r="J56" s="2"/>
      <c r="K56" s="3"/>
      <c r="L56" s="3"/>
      <c r="M56" s="3"/>
      <c r="N56" s="438" t="s">
        <v>48</v>
      </c>
      <c r="O56" s="438"/>
      <c r="P56" s="438"/>
      <c r="Q56" s="438"/>
      <c r="R56" s="438"/>
      <c r="S56" s="438"/>
      <c r="T56" s="438"/>
    </row>
    <row r="57" spans="1:20" ht="14.45" customHeight="1" x14ac:dyDescent="0.2">
      <c r="I57" s="5"/>
      <c r="J57" s="5"/>
      <c r="K57" s="5"/>
      <c r="N57" s="438"/>
      <c r="O57" s="438"/>
      <c r="P57" s="438"/>
      <c r="Q57" s="438"/>
      <c r="R57" s="438"/>
      <c r="S57" s="438"/>
      <c r="T57" s="438"/>
    </row>
    <row r="58" spans="1:20" ht="14.45" customHeight="1" x14ac:dyDescent="0.2">
      <c r="N58" s="438"/>
      <c r="O58" s="438"/>
      <c r="P58" s="438"/>
      <c r="Q58" s="438"/>
      <c r="R58" s="438"/>
      <c r="S58" s="438"/>
      <c r="T58" s="438"/>
    </row>
  </sheetData>
  <mergeCells count="11">
    <mergeCell ref="A29:B29"/>
    <mergeCell ref="A2:K2"/>
    <mergeCell ref="A4:K4"/>
    <mergeCell ref="A5:K5"/>
    <mergeCell ref="A10:B10"/>
    <mergeCell ref="A16:B16"/>
    <mergeCell ref="A30:B30"/>
    <mergeCell ref="B37:G37"/>
    <mergeCell ref="N38:T38"/>
    <mergeCell ref="A53:D53"/>
    <mergeCell ref="N56:T58"/>
  </mergeCells>
  <pageMargins left="0.7" right="0.7" top="0.75" bottom="0.75" header="0.3" footer="0.3"/>
  <pageSetup paperSize="9" scale="8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U73"/>
  <sheetViews>
    <sheetView showGridLines="0" topLeftCell="A46" zoomScaleNormal="100" workbookViewId="0">
      <selection activeCell="A2" sqref="A2:J2"/>
    </sheetView>
  </sheetViews>
  <sheetFormatPr baseColWidth="10" defaultColWidth="11.42578125" defaultRowHeight="14.45" customHeight="1" x14ac:dyDescent="0.2"/>
  <cols>
    <col min="1" max="1" width="15.28515625" style="152" customWidth="1"/>
    <col min="2" max="12" width="11.42578125" style="152"/>
    <col min="13" max="13" width="17.7109375" style="152" customWidth="1"/>
    <col min="14" max="17" width="11.42578125" style="152"/>
    <col min="18" max="18" width="7.5703125" style="152" customWidth="1"/>
    <col min="19" max="16384" width="11.42578125" style="152"/>
  </cols>
  <sheetData>
    <row r="2" spans="1:17" ht="14.45" customHeight="1" x14ac:dyDescent="0.2">
      <c r="A2" s="488" t="s">
        <v>525</v>
      </c>
      <c r="B2" s="488"/>
      <c r="C2" s="488"/>
      <c r="D2" s="488"/>
      <c r="E2" s="488"/>
      <c r="F2" s="488"/>
      <c r="G2" s="488"/>
      <c r="H2" s="488"/>
      <c r="I2" s="488"/>
      <c r="J2" s="488"/>
      <c r="K2" s="267"/>
      <c r="L2" s="267"/>
      <c r="M2" s="267"/>
      <c r="N2" s="267"/>
      <c r="O2" s="267"/>
    </row>
    <row r="4" spans="1:17" ht="14.45" customHeight="1" x14ac:dyDescent="0.2">
      <c r="A4" s="509" t="s">
        <v>371</v>
      </c>
      <c r="B4" s="509"/>
      <c r="C4" s="509"/>
      <c r="D4" s="509"/>
      <c r="E4" s="509"/>
      <c r="F4" s="509"/>
      <c r="G4" s="509"/>
      <c r="H4" s="509"/>
      <c r="I4" s="509"/>
      <c r="J4" s="509"/>
    </row>
    <row r="5" spans="1:17" ht="14.45" customHeight="1" x14ac:dyDescent="0.2">
      <c r="A5" s="509" t="s">
        <v>372</v>
      </c>
      <c r="B5" s="509"/>
      <c r="C5" s="509"/>
      <c r="D5" s="509"/>
      <c r="E5" s="509"/>
      <c r="F5" s="509"/>
      <c r="G5" s="509"/>
      <c r="H5" s="509"/>
      <c r="I5" s="509"/>
      <c r="J5" s="509"/>
    </row>
    <row r="6" spans="1:17" ht="14.45" customHeight="1" x14ac:dyDescent="0.2">
      <c r="A6" s="512" t="s">
        <v>373</v>
      </c>
      <c r="B6" s="512"/>
      <c r="C6" s="512"/>
      <c r="D6" s="512"/>
      <c r="E6" s="512"/>
      <c r="F6" s="512"/>
      <c r="G6" s="512"/>
      <c r="H6" s="512"/>
      <c r="I6" s="512"/>
      <c r="J6" s="512"/>
    </row>
    <row r="7" spans="1:17" ht="14.45" customHeight="1" x14ac:dyDescent="0.2">
      <c r="A7" s="59" t="s">
        <v>3</v>
      </c>
      <c r="B7" s="59" t="s">
        <v>4</v>
      </c>
      <c r="C7" s="59">
        <v>2013</v>
      </c>
      <c r="D7" s="59">
        <v>2014</v>
      </c>
      <c r="E7" s="59">
        <v>2015</v>
      </c>
      <c r="F7" s="59">
        <v>2016</v>
      </c>
      <c r="G7" s="59">
        <v>2017</v>
      </c>
      <c r="H7" s="59">
        <v>2018</v>
      </c>
      <c r="I7" s="59">
        <v>2019</v>
      </c>
      <c r="J7" s="59">
        <v>2020</v>
      </c>
    </row>
    <row r="8" spans="1:17" ht="14.45" customHeight="1" x14ac:dyDescent="0.2">
      <c r="A8" s="9" t="s">
        <v>62</v>
      </c>
      <c r="B8" s="111" t="s">
        <v>154</v>
      </c>
      <c r="C8" s="153">
        <v>532.79999999999995</v>
      </c>
      <c r="D8" s="153">
        <v>592.5</v>
      </c>
      <c r="E8" s="153">
        <v>506.9</v>
      </c>
      <c r="F8" s="153">
        <v>381.3</v>
      </c>
      <c r="G8" s="153">
        <v>310.39999999999998</v>
      </c>
      <c r="H8" s="153">
        <v>263.3</v>
      </c>
      <c r="I8" s="154">
        <v>236.24100000000001</v>
      </c>
      <c r="J8" s="154">
        <v>219.62100000000001</v>
      </c>
    </row>
    <row r="9" spans="1:17" ht="14.45" customHeight="1" x14ac:dyDescent="0.2">
      <c r="A9" s="9" t="s">
        <v>352</v>
      </c>
      <c r="B9" s="111" t="s">
        <v>374</v>
      </c>
      <c r="C9" s="153">
        <v>154.5</v>
      </c>
      <c r="D9" s="153">
        <v>142.30000000000001</v>
      </c>
      <c r="E9" s="153">
        <v>129.9</v>
      </c>
      <c r="F9" s="153">
        <v>116.1</v>
      </c>
      <c r="G9" s="153">
        <v>104.2</v>
      </c>
      <c r="H9" s="153">
        <v>112.5</v>
      </c>
      <c r="I9" s="154">
        <v>120.003</v>
      </c>
      <c r="J9" s="154">
        <v>144.40199999999999</v>
      </c>
      <c r="L9" s="513" t="s">
        <v>526</v>
      </c>
      <c r="M9" s="513"/>
      <c r="N9" s="513"/>
      <c r="O9" s="513"/>
      <c r="P9" s="513"/>
      <c r="Q9" s="513"/>
    </row>
    <row r="10" spans="1:17" ht="14.45" customHeight="1" x14ac:dyDescent="0.2">
      <c r="A10" s="9" t="s">
        <v>62</v>
      </c>
      <c r="B10" s="111" t="s">
        <v>64</v>
      </c>
      <c r="C10" s="153">
        <v>708.8</v>
      </c>
      <c r="D10" s="153">
        <v>569.29999999999995</v>
      </c>
      <c r="E10" s="153">
        <v>450.2</v>
      </c>
      <c r="F10" s="153">
        <v>347.7</v>
      </c>
      <c r="G10" s="153">
        <v>268.2</v>
      </c>
      <c r="H10" s="153">
        <v>275.3</v>
      </c>
      <c r="I10" s="154">
        <v>263.86</v>
      </c>
      <c r="J10" s="154">
        <v>247.74199999999999</v>
      </c>
      <c r="L10" s="513"/>
      <c r="M10" s="513"/>
      <c r="N10" s="513"/>
      <c r="O10" s="513"/>
      <c r="P10" s="513"/>
      <c r="Q10" s="513"/>
    </row>
    <row r="11" spans="1:17" ht="14.45" customHeight="1" x14ac:dyDescent="0.2">
      <c r="A11" s="9" t="s">
        <v>62</v>
      </c>
      <c r="B11" s="111" t="s">
        <v>63</v>
      </c>
      <c r="C11" s="153">
        <v>259.8</v>
      </c>
      <c r="D11" s="153">
        <v>244.5</v>
      </c>
      <c r="E11" s="153">
        <v>233</v>
      </c>
      <c r="F11" s="153">
        <v>232.7</v>
      </c>
      <c r="G11" s="153">
        <v>531.20000000000005</v>
      </c>
      <c r="H11" s="153">
        <v>754.5</v>
      </c>
      <c r="I11" s="154">
        <v>946.48400000000004</v>
      </c>
      <c r="J11" s="154">
        <v>785.44899999999996</v>
      </c>
    </row>
    <row r="12" spans="1:17" ht="14.45" customHeight="1" x14ac:dyDescent="0.2">
      <c r="A12" s="9" t="s">
        <v>62</v>
      </c>
      <c r="B12" s="111" t="s">
        <v>157</v>
      </c>
      <c r="C12" s="153">
        <v>48.2</v>
      </c>
      <c r="D12" s="153">
        <v>48.3</v>
      </c>
      <c r="E12" s="153">
        <v>59.1</v>
      </c>
      <c r="F12" s="153">
        <v>46.9</v>
      </c>
      <c r="G12" s="153">
        <v>36.200000000000003</v>
      </c>
      <c r="H12" s="153">
        <v>39.9</v>
      </c>
      <c r="I12" s="154">
        <v>38.347000000000001</v>
      </c>
      <c r="J12" s="154">
        <v>34.567999999999998</v>
      </c>
    </row>
    <row r="13" spans="1:17" ht="14.45" customHeight="1" x14ac:dyDescent="0.2">
      <c r="A13" s="9" t="s">
        <v>158</v>
      </c>
      <c r="B13" s="111" t="s">
        <v>375</v>
      </c>
      <c r="C13" s="153">
        <v>1262.3</v>
      </c>
      <c r="D13" s="153">
        <v>1306.5999999999999</v>
      </c>
      <c r="E13" s="153">
        <v>1246.9000000000001</v>
      </c>
      <c r="F13" s="153">
        <v>1172.4000000000001</v>
      </c>
      <c r="G13" s="153">
        <v>1132.7</v>
      </c>
      <c r="H13" s="153">
        <v>1377.2</v>
      </c>
      <c r="I13" s="154">
        <v>1422.4659999999999</v>
      </c>
      <c r="J13" s="154">
        <v>1273.002</v>
      </c>
    </row>
    <row r="14" spans="1:17" ht="14.45" customHeight="1" x14ac:dyDescent="0.2">
      <c r="A14" s="9" t="s">
        <v>354</v>
      </c>
      <c r="B14" s="111" t="s">
        <v>73</v>
      </c>
      <c r="C14" s="153">
        <v>74.7</v>
      </c>
      <c r="D14" s="153">
        <v>71.599999999999994</v>
      </c>
      <c r="E14" s="153">
        <v>65.599999999999994</v>
      </c>
      <c r="F14" s="153">
        <v>69.3</v>
      </c>
      <c r="G14" s="153">
        <v>63.6</v>
      </c>
      <c r="H14" s="153">
        <v>63</v>
      </c>
      <c r="I14" s="154">
        <v>61.78</v>
      </c>
      <c r="J14" s="154">
        <v>59.177999999999997</v>
      </c>
    </row>
    <row r="15" spans="1:17" ht="14.45" customHeight="1" x14ac:dyDescent="0.2">
      <c r="A15" s="9" t="s">
        <v>26</v>
      </c>
      <c r="B15" s="111" t="s">
        <v>65</v>
      </c>
      <c r="C15" s="153">
        <v>4221</v>
      </c>
      <c r="D15" s="153">
        <v>3790.9</v>
      </c>
      <c r="E15" s="153">
        <v>3900.5</v>
      </c>
      <c r="F15" s="153">
        <v>3941.7</v>
      </c>
      <c r="G15" s="153">
        <v>4085.3</v>
      </c>
      <c r="H15" s="153">
        <v>4827.2</v>
      </c>
      <c r="I15" s="154">
        <v>5227.6310000000003</v>
      </c>
      <c r="J15" s="154">
        <v>4798.0129999999999</v>
      </c>
    </row>
    <row r="16" spans="1:17" ht="14.45" customHeight="1" x14ac:dyDescent="0.2">
      <c r="A16" s="9" t="s">
        <v>66</v>
      </c>
      <c r="B16" s="111" t="s">
        <v>11</v>
      </c>
      <c r="C16" s="153">
        <v>1817.5</v>
      </c>
      <c r="D16" s="153">
        <v>2312.3000000000002</v>
      </c>
      <c r="E16" s="153">
        <v>1488.1</v>
      </c>
      <c r="F16" s="153">
        <v>1338.7</v>
      </c>
      <c r="G16" s="153">
        <v>989.1</v>
      </c>
      <c r="H16" s="153">
        <v>715.7</v>
      </c>
      <c r="I16" s="154">
        <v>717.73900000000003</v>
      </c>
      <c r="J16" s="154">
        <v>509.14600000000002</v>
      </c>
    </row>
    <row r="17" spans="1:21" ht="14.45" customHeight="1" x14ac:dyDescent="0.2">
      <c r="A17" s="9" t="s">
        <v>352</v>
      </c>
      <c r="B17" s="111" t="s">
        <v>160</v>
      </c>
      <c r="C17" s="153">
        <v>31.7</v>
      </c>
      <c r="D17" s="153">
        <v>24.6</v>
      </c>
      <c r="E17" s="153">
        <v>21.5</v>
      </c>
      <c r="F17" s="153">
        <v>17.600000000000001</v>
      </c>
      <c r="G17" s="153">
        <v>14.4</v>
      </c>
      <c r="H17" s="153">
        <v>13</v>
      </c>
      <c r="I17" s="154">
        <v>13.388</v>
      </c>
      <c r="J17" s="154">
        <v>12.891999999999999</v>
      </c>
      <c r="S17" s="155">
        <f>+J37/I37-1</f>
        <v>-0.25114477633178445</v>
      </c>
    </row>
    <row r="18" spans="1:21" ht="14.45" customHeight="1" x14ac:dyDescent="0.2">
      <c r="A18" s="9" t="s">
        <v>352</v>
      </c>
      <c r="B18" s="111" t="s">
        <v>161</v>
      </c>
      <c r="C18" s="153">
        <v>11.3</v>
      </c>
      <c r="D18" s="153">
        <v>9</v>
      </c>
      <c r="E18" s="153">
        <v>7</v>
      </c>
      <c r="F18" s="153">
        <v>5.4</v>
      </c>
      <c r="G18" s="153">
        <v>4.5</v>
      </c>
      <c r="H18" s="153">
        <v>8.1999999999999993</v>
      </c>
      <c r="I18" s="154">
        <v>5.7469999999999999</v>
      </c>
      <c r="J18" s="154">
        <v>5.0510000000000002</v>
      </c>
    </row>
    <row r="19" spans="1:21" ht="14.45" customHeight="1" x14ac:dyDescent="0.2">
      <c r="A19" s="15" t="s">
        <v>355</v>
      </c>
      <c r="B19" s="15"/>
      <c r="C19" s="156">
        <v>9122.6</v>
      </c>
      <c r="D19" s="156">
        <v>9112</v>
      </c>
      <c r="E19" s="156">
        <v>8108.6</v>
      </c>
      <c r="F19" s="156">
        <v>7669.9</v>
      </c>
      <c r="G19" s="156">
        <v>7539.8</v>
      </c>
      <c r="H19" s="156">
        <v>8449.7000000000007</v>
      </c>
      <c r="I19" s="157">
        <f>SUM(I8:I18)</f>
        <v>9053.6859999999997</v>
      </c>
      <c r="J19" s="157">
        <f>SUM(J8:J18)</f>
        <v>8089.0639999999994</v>
      </c>
      <c r="S19" s="511" t="s">
        <v>527</v>
      </c>
      <c r="T19" s="511"/>
      <c r="U19" s="511"/>
    </row>
    <row r="20" spans="1:21" ht="14.45" customHeight="1" x14ac:dyDescent="0.2">
      <c r="A20" s="146"/>
      <c r="B20" s="158"/>
      <c r="C20" s="153"/>
      <c r="D20" s="153"/>
      <c r="E20" s="153"/>
      <c r="F20" s="153"/>
      <c r="G20" s="153"/>
      <c r="H20" s="153"/>
      <c r="I20" s="154"/>
      <c r="J20" s="154"/>
      <c r="S20" s="511"/>
      <c r="T20" s="511"/>
      <c r="U20" s="511"/>
    </row>
    <row r="21" spans="1:21" ht="14.45" customHeight="1" x14ac:dyDescent="0.2">
      <c r="A21" s="9" t="s">
        <v>75</v>
      </c>
      <c r="B21" s="111" t="s">
        <v>376</v>
      </c>
      <c r="C21" s="153">
        <v>3729.5</v>
      </c>
      <c r="D21" s="153">
        <v>3905.7</v>
      </c>
      <c r="E21" s="153">
        <v>3507.4</v>
      </c>
      <c r="F21" s="153">
        <v>3060.5</v>
      </c>
      <c r="G21" s="153">
        <v>2866.8</v>
      </c>
      <c r="H21" s="153">
        <v>2795.4</v>
      </c>
      <c r="I21" s="154">
        <v>2611.7800000000002</v>
      </c>
      <c r="J21" s="154">
        <v>2272.8820000000001</v>
      </c>
      <c r="S21" s="511"/>
      <c r="T21" s="511"/>
      <c r="U21" s="511"/>
    </row>
    <row r="22" spans="1:21" ht="14.45" customHeight="1" x14ac:dyDescent="0.2">
      <c r="A22" s="9" t="s">
        <v>75</v>
      </c>
      <c r="B22" s="111" t="s">
        <v>164</v>
      </c>
      <c r="C22" s="153" t="s">
        <v>7</v>
      </c>
      <c r="D22" s="153" t="s">
        <v>7</v>
      </c>
      <c r="E22" s="153" t="s">
        <v>7</v>
      </c>
      <c r="F22" s="153" t="s">
        <v>7</v>
      </c>
      <c r="G22" s="153" t="s">
        <v>7</v>
      </c>
      <c r="H22" s="153" t="s">
        <v>7</v>
      </c>
      <c r="I22" s="159">
        <v>3.4350000000000001</v>
      </c>
      <c r="J22" s="159">
        <v>0</v>
      </c>
    </row>
    <row r="23" spans="1:21" ht="14.45" customHeight="1" x14ac:dyDescent="0.2">
      <c r="A23" s="9" t="s">
        <v>51</v>
      </c>
      <c r="B23" s="111" t="s">
        <v>52</v>
      </c>
      <c r="C23" s="153">
        <v>993.1</v>
      </c>
      <c r="D23" s="153">
        <v>1811</v>
      </c>
      <c r="E23" s="153">
        <v>1422.1</v>
      </c>
      <c r="F23" s="153">
        <v>1019.8</v>
      </c>
      <c r="G23" s="153">
        <v>850.7</v>
      </c>
      <c r="H23" s="153">
        <v>574.20000000000005</v>
      </c>
      <c r="I23" s="154">
        <v>476.95400000000001</v>
      </c>
      <c r="J23" s="154">
        <v>32.491999999999997</v>
      </c>
    </row>
    <row r="24" spans="1:21" ht="14.45" customHeight="1" x14ac:dyDescent="0.2">
      <c r="A24" s="15" t="s">
        <v>377</v>
      </c>
      <c r="B24" s="15"/>
      <c r="C24" s="156">
        <v>4722.6000000000004</v>
      </c>
      <c r="D24" s="156">
        <v>5716.7</v>
      </c>
      <c r="E24" s="156">
        <v>4929.5</v>
      </c>
      <c r="F24" s="156">
        <v>4080.3</v>
      </c>
      <c r="G24" s="156">
        <v>3717.4</v>
      </c>
      <c r="H24" s="156">
        <v>3369.5</v>
      </c>
      <c r="I24" s="157">
        <f>SUM(I21:I23)</f>
        <v>3092.1690000000003</v>
      </c>
      <c r="J24" s="157">
        <f>SUM(J21:J23)</f>
        <v>2305.3740000000003</v>
      </c>
    </row>
    <row r="25" spans="1:21" ht="14.45" customHeight="1" x14ac:dyDescent="0.2">
      <c r="A25" s="146"/>
      <c r="B25" s="158"/>
      <c r="C25" s="153"/>
      <c r="D25" s="153"/>
      <c r="E25" s="153"/>
      <c r="F25" s="153"/>
      <c r="G25" s="153"/>
      <c r="H25" s="153"/>
      <c r="I25" s="154"/>
      <c r="J25" s="154"/>
    </row>
    <row r="26" spans="1:21" ht="14.45" customHeight="1" x14ac:dyDescent="0.2">
      <c r="A26" s="9" t="s">
        <v>29</v>
      </c>
      <c r="B26" s="111" t="s">
        <v>378</v>
      </c>
      <c r="C26" s="153">
        <v>5407.3</v>
      </c>
      <c r="D26" s="153">
        <v>4734.8999999999996</v>
      </c>
      <c r="E26" s="153">
        <v>2594.6</v>
      </c>
      <c r="F26" s="153" t="s">
        <v>7</v>
      </c>
      <c r="G26" s="153" t="s">
        <v>7</v>
      </c>
      <c r="H26" s="153" t="s">
        <v>7</v>
      </c>
      <c r="I26" s="154" t="s">
        <v>7</v>
      </c>
      <c r="J26" s="154">
        <v>0</v>
      </c>
    </row>
    <row r="27" spans="1:21" ht="14.45" customHeight="1" x14ac:dyDescent="0.2">
      <c r="A27" s="9" t="s">
        <v>358</v>
      </c>
      <c r="B27" s="110">
        <v>192</v>
      </c>
      <c r="C27" s="153" t="s">
        <v>7</v>
      </c>
      <c r="D27" s="153" t="s">
        <v>7</v>
      </c>
      <c r="E27" s="153">
        <v>877.7</v>
      </c>
      <c r="F27" s="153">
        <v>414.9</v>
      </c>
      <c r="G27" s="153">
        <v>1387.7</v>
      </c>
      <c r="H27" s="153">
        <v>2642</v>
      </c>
      <c r="I27" s="154">
        <v>2458.9830000000002</v>
      </c>
      <c r="J27" s="154">
        <v>475.53500000000003</v>
      </c>
    </row>
    <row r="28" spans="1:21" ht="14.45" customHeight="1" x14ac:dyDescent="0.2">
      <c r="A28" s="9" t="s">
        <v>29</v>
      </c>
      <c r="B28" s="111">
        <v>8</v>
      </c>
      <c r="C28" s="153">
        <v>3482.7</v>
      </c>
      <c r="D28" s="153">
        <v>3489.1</v>
      </c>
      <c r="E28" s="153">
        <v>2806.4</v>
      </c>
      <c r="F28" s="153">
        <v>1601.3</v>
      </c>
      <c r="G28" s="153">
        <v>2132</v>
      </c>
      <c r="H28" s="153">
        <v>2058.4</v>
      </c>
      <c r="I28" s="154">
        <v>1611</v>
      </c>
      <c r="J28" s="154">
        <v>593.93299999999999</v>
      </c>
      <c r="L28" s="1" t="s">
        <v>513</v>
      </c>
    </row>
    <row r="29" spans="1:21" ht="14.45" customHeight="1" x14ac:dyDescent="0.2">
      <c r="A29" s="9" t="s">
        <v>165</v>
      </c>
      <c r="B29" s="111">
        <v>67</v>
      </c>
      <c r="C29" s="153">
        <v>14.4</v>
      </c>
      <c r="D29" s="153">
        <v>1846.5</v>
      </c>
      <c r="E29" s="153">
        <v>555.1</v>
      </c>
      <c r="F29" s="153">
        <v>131.6</v>
      </c>
      <c r="G29" s="153" t="s">
        <v>7</v>
      </c>
      <c r="H29" s="153">
        <v>134.80000000000001</v>
      </c>
      <c r="I29" s="154">
        <v>504.66800000000001</v>
      </c>
      <c r="J29" s="154">
        <v>246.72900000000001</v>
      </c>
    </row>
    <row r="30" spans="1:21" ht="14.45" customHeight="1" x14ac:dyDescent="0.2">
      <c r="A30" s="9" t="s">
        <v>25</v>
      </c>
      <c r="B30" s="111">
        <v>95</v>
      </c>
      <c r="C30" s="153">
        <v>6.2</v>
      </c>
      <c r="D30" s="153" t="s">
        <v>7</v>
      </c>
      <c r="E30" s="153" t="s">
        <v>7</v>
      </c>
      <c r="F30" s="153" t="s">
        <v>7</v>
      </c>
      <c r="G30" s="153" t="s">
        <v>7</v>
      </c>
      <c r="H30" s="153">
        <v>170.4</v>
      </c>
      <c r="I30" s="154">
        <v>1498.825</v>
      </c>
      <c r="J30" s="154">
        <v>2065.4409999999998</v>
      </c>
      <c r="L30" s="514" t="s">
        <v>528</v>
      </c>
      <c r="M30" s="514"/>
      <c r="N30" s="514"/>
      <c r="O30" s="514"/>
      <c r="P30" s="514"/>
      <c r="Q30" s="514"/>
    </row>
    <row r="31" spans="1:21" ht="14.45" customHeight="1" x14ac:dyDescent="0.2">
      <c r="A31" s="9" t="s">
        <v>379</v>
      </c>
      <c r="B31" s="111">
        <v>102</v>
      </c>
      <c r="C31" s="153">
        <v>50.8</v>
      </c>
      <c r="D31" s="153" t="s">
        <v>7</v>
      </c>
      <c r="E31" s="153" t="s">
        <v>7</v>
      </c>
      <c r="F31" s="153" t="s">
        <v>7</v>
      </c>
      <c r="G31" s="153" t="s">
        <v>7</v>
      </c>
      <c r="H31" s="153" t="s">
        <v>7</v>
      </c>
      <c r="I31" s="154" t="s">
        <v>7</v>
      </c>
      <c r="J31" s="154">
        <v>0</v>
      </c>
      <c r="L31" s="514"/>
      <c r="M31" s="514"/>
      <c r="N31" s="514"/>
      <c r="O31" s="514"/>
      <c r="P31" s="514"/>
      <c r="Q31" s="514"/>
    </row>
    <row r="32" spans="1:21" ht="14.45" customHeight="1" x14ac:dyDescent="0.2">
      <c r="A32" s="9" t="s">
        <v>360</v>
      </c>
      <c r="B32" s="111" t="s">
        <v>380</v>
      </c>
      <c r="C32" s="153">
        <v>109.1</v>
      </c>
      <c r="D32" s="153">
        <v>107.6</v>
      </c>
      <c r="E32" s="153">
        <v>96.7</v>
      </c>
      <c r="F32" s="153">
        <v>38.5</v>
      </c>
      <c r="G32" s="153">
        <v>27.4</v>
      </c>
      <c r="H32" s="153">
        <v>7.4</v>
      </c>
      <c r="I32" s="154" t="s">
        <v>7</v>
      </c>
      <c r="J32" s="154">
        <v>0</v>
      </c>
    </row>
    <row r="33" spans="1:21" ht="14.45" customHeight="1" x14ac:dyDescent="0.2">
      <c r="A33" s="9" t="s">
        <v>360</v>
      </c>
      <c r="B33" s="111" t="s">
        <v>381</v>
      </c>
      <c r="C33" s="153">
        <v>37.700000000000003</v>
      </c>
      <c r="D33" s="153">
        <v>30.6</v>
      </c>
      <c r="E33" s="153">
        <v>24.9</v>
      </c>
      <c r="F33" s="153">
        <v>15.9</v>
      </c>
      <c r="G33" s="153">
        <v>10.5</v>
      </c>
      <c r="H33" s="153">
        <v>2.7</v>
      </c>
      <c r="I33" s="154" t="s">
        <v>7</v>
      </c>
      <c r="J33" s="154">
        <v>0</v>
      </c>
    </row>
    <row r="34" spans="1:21" ht="14.45" customHeight="1" x14ac:dyDescent="0.2">
      <c r="A34" s="9" t="s">
        <v>27</v>
      </c>
      <c r="B34" s="111">
        <v>131</v>
      </c>
      <c r="C34" s="153">
        <v>2.6</v>
      </c>
      <c r="D34" s="153">
        <v>258.3</v>
      </c>
      <c r="E34" s="153">
        <v>1179.3</v>
      </c>
      <c r="F34" s="153">
        <v>820.7</v>
      </c>
      <c r="G34" s="153">
        <v>1085.5</v>
      </c>
      <c r="H34" s="153">
        <v>1002.2</v>
      </c>
      <c r="I34" s="154">
        <v>1119.7380000000001</v>
      </c>
      <c r="J34" s="154">
        <v>745.76400000000001</v>
      </c>
    </row>
    <row r="35" spans="1:21" ht="14.45" customHeight="1" x14ac:dyDescent="0.2">
      <c r="A35" s="15" t="s">
        <v>361</v>
      </c>
      <c r="B35" s="15"/>
      <c r="C35" s="156">
        <v>9110.7999999999993</v>
      </c>
      <c r="D35" s="156">
        <v>10467.1</v>
      </c>
      <c r="E35" s="156">
        <v>8134.7</v>
      </c>
      <c r="F35" s="156">
        <v>3022.8</v>
      </c>
      <c r="G35" s="156">
        <v>4643.1000000000004</v>
      </c>
      <c r="H35" s="156">
        <v>6017.8</v>
      </c>
      <c r="I35" s="157">
        <f>SUM(I26:I34)</f>
        <v>7193.2139999999999</v>
      </c>
      <c r="J35" s="157">
        <f>SUM(J26:J34)</f>
        <v>4127.402</v>
      </c>
    </row>
    <row r="36" spans="1:21" ht="14.45" customHeight="1" x14ac:dyDescent="0.2">
      <c r="A36" s="507" t="s">
        <v>382</v>
      </c>
      <c r="B36" s="507"/>
      <c r="C36" s="160">
        <v>22956</v>
      </c>
      <c r="D36" s="160">
        <v>25295.8</v>
      </c>
      <c r="E36" s="160">
        <v>21172.799999999999</v>
      </c>
      <c r="F36" s="160">
        <v>14773</v>
      </c>
      <c r="G36" s="160">
        <v>15900.3</v>
      </c>
      <c r="H36" s="160">
        <v>17837</v>
      </c>
      <c r="I36" s="161">
        <f>SUM(I19+I24+I35)</f>
        <v>19339.069</v>
      </c>
      <c r="J36" s="161">
        <f>SUM(J19+J24+J35)</f>
        <v>14521.84</v>
      </c>
    </row>
    <row r="37" spans="1:21" ht="14.45" customHeight="1" x14ac:dyDescent="0.2">
      <c r="A37" s="507" t="s">
        <v>383</v>
      </c>
      <c r="B37" s="507"/>
      <c r="C37" s="162">
        <v>62.9</v>
      </c>
      <c r="D37" s="162">
        <v>69.3</v>
      </c>
      <c r="E37" s="162">
        <v>58</v>
      </c>
      <c r="F37" s="162">
        <v>40.5</v>
      </c>
      <c r="G37" s="162">
        <v>43.6</v>
      </c>
      <c r="H37" s="162">
        <v>48.9</v>
      </c>
      <c r="I37" s="163">
        <f>I36/365</f>
        <v>52.983750684931508</v>
      </c>
      <c r="J37" s="163">
        <f>J36/366</f>
        <v>39.677158469945354</v>
      </c>
    </row>
    <row r="38" spans="1:21" ht="14.45" customHeight="1" x14ac:dyDescent="0.2">
      <c r="A38" s="516"/>
      <c r="B38" s="516"/>
      <c r="C38" s="516"/>
      <c r="D38" s="516"/>
      <c r="E38" s="516"/>
      <c r="F38" s="516"/>
      <c r="G38" s="516"/>
      <c r="H38" s="516"/>
      <c r="I38" s="164"/>
      <c r="J38" s="164"/>
    </row>
    <row r="39" spans="1:21" ht="14.45" customHeight="1" x14ac:dyDescent="0.2">
      <c r="A39" s="512" t="s">
        <v>384</v>
      </c>
      <c r="B39" s="512"/>
      <c r="C39" s="512"/>
      <c r="D39" s="512"/>
      <c r="E39" s="512"/>
      <c r="F39" s="512"/>
      <c r="G39" s="512"/>
      <c r="H39" s="512"/>
      <c r="I39" s="512"/>
      <c r="J39" s="165"/>
    </row>
    <row r="40" spans="1:21" ht="14.45" customHeight="1" x14ac:dyDescent="0.2">
      <c r="A40" s="59" t="s">
        <v>3</v>
      </c>
      <c r="B40" s="59" t="s">
        <v>4</v>
      </c>
      <c r="C40" s="59">
        <v>2013</v>
      </c>
      <c r="D40" s="59">
        <v>2014</v>
      </c>
      <c r="E40" s="59">
        <v>2015</v>
      </c>
      <c r="F40" s="59">
        <v>2016</v>
      </c>
      <c r="G40" s="59">
        <v>2017</v>
      </c>
      <c r="H40" s="59">
        <v>2018</v>
      </c>
      <c r="I40" s="59">
        <v>2019</v>
      </c>
      <c r="J40" s="59">
        <v>2020</v>
      </c>
      <c r="S40" s="166">
        <f>+J49/I49-1</f>
        <v>-2.0668951829595716E-2</v>
      </c>
    </row>
    <row r="41" spans="1:21" ht="14.45" customHeight="1" x14ac:dyDescent="0.2">
      <c r="A41" s="9" t="s">
        <v>75</v>
      </c>
      <c r="B41" s="111" t="s">
        <v>376</v>
      </c>
      <c r="C41" s="167">
        <v>479.2</v>
      </c>
      <c r="D41" s="167">
        <v>466.4</v>
      </c>
      <c r="E41" s="167">
        <v>470.5</v>
      </c>
      <c r="F41" s="167">
        <v>429.7</v>
      </c>
      <c r="G41" s="167">
        <v>374.7</v>
      </c>
      <c r="H41" s="167">
        <v>374</v>
      </c>
      <c r="I41" s="168">
        <v>349.291</v>
      </c>
      <c r="J41" s="168">
        <v>351.20400000000001</v>
      </c>
    </row>
    <row r="42" spans="1:21" ht="14.45" customHeight="1" x14ac:dyDescent="0.2">
      <c r="A42" s="15" t="s">
        <v>364</v>
      </c>
      <c r="B42" s="169"/>
      <c r="C42" s="170">
        <v>479.2</v>
      </c>
      <c r="D42" s="170">
        <v>466.4</v>
      </c>
      <c r="E42" s="170">
        <v>470.5</v>
      </c>
      <c r="F42" s="170">
        <v>429.7</v>
      </c>
      <c r="G42" s="170">
        <v>374.7</v>
      </c>
      <c r="H42" s="170">
        <v>374</v>
      </c>
      <c r="I42" s="171">
        <f>SUM(I41)</f>
        <v>349.291</v>
      </c>
      <c r="J42" s="171">
        <f>SUM(J41)</f>
        <v>351.20400000000001</v>
      </c>
      <c r="S42" s="511" t="s">
        <v>529</v>
      </c>
      <c r="T42" s="511"/>
      <c r="U42" s="511"/>
    </row>
    <row r="43" spans="1:21" ht="14.45" customHeight="1" x14ac:dyDescent="0.2">
      <c r="A43" s="9" t="s">
        <v>162</v>
      </c>
      <c r="B43" s="111" t="s">
        <v>385</v>
      </c>
      <c r="C43" s="167">
        <v>837.9</v>
      </c>
      <c r="D43" s="167">
        <v>784.4</v>
      </c>
      <c r="E43" s="167">
        <v>720.5</v>
      </c>
      <c r="F43" s="167">
        <v>471.5</v>
      </c>
      <c r="G43" s="167">
        <v>410</v>
      </c>
      <c r="H43" s="167">
        <v>382.1</v>
      </c>
      <c r="I43" s="168">
        <v>275.7</v>
      </c>
      <c r="J43" s="168">
        <v>168.126</v>
      </c>
      <c r="S43" s="511"/>
      <c r="T43" s="511"/>
      <c r="U43" s="511"/>
    </row>
    <row r="44" spans="1:21" ht="14.45" customHeight="1" x14ac:dyDescent="0.2">
      <c r="A44" s="9" t="s">
        <v>29</v>
      </c>
      <c r="B44" s="111">
        <v>88</v>
      </c>
      <c r="C44" s="167">
        <v>22938.799999999999</v>
      </c>
      <c r="D44" s="167">
        <v>21194.1</v>
      </c>
      <c r="E44" s="167">
        <v>18818.400000000001</v>
      </c>
      <c r="F44" s="167">
        <v>18371.8</v>
      </c>
      <c r="G44" s="167">
        <v>17865</v>
      </c>
      <c r="H44" s="167">
        <v>16975.599999999999</v>
      </c>
      <c r="I44" s="168">
        <v>17338.600999999999</v>
      </c>
      <c r="J44" s="168">
        <v>17833.251</v>
      </c>
      <c r="S44" s="511"/>
      <c r="T44" s="511"/>
      <c r="U44" s="511"/>
    </row>
    <row r="45" spans="1:21" ht="14.45" customHeight="1" x14ac:dyDescent="0.2">
      <c r="A45" s="9" t="s">
        <v>30</v>
      </c>
      <c r="B45" s="111">
        <v>57</v>
      </c>
      <c r="C45" s="167" t="s">
        <v>7</v>
      </c>
      <c r="D45" s="167">
        <v>1609.9</v>
      </c>
      <c r="E45" s="167">
        <v>1755.2</v>
      </c>
      <c r="F45" s="167">
        <v>3214.3</v>
      </c>
      <c r="G45" s="167">
        <v>3700</v>
      </c>
      <c r="H45" s="167">
        <v>4493.6000000000004</v>
      </c>
      <c r="I45" s="168">
        <v>4459.2550000000001</v>
      </c>
      <c r="J45" s="168">
        <v>4362.8249999999998</v>
      </c>
    </row>
    <row r="46" spans="1:21" ht="14.45" customHeight="1" x14ac:dyDescent="0.2">
      <c r="A46" s="9" t="s">
        <v>29</v>
      </c>
      <c r="B46" s="111">
        <v>56</v>
      </c>
      <c r="C46" s="167">
        <v>13931.2</v>
      </c>
      <c r="D46" s="167">
        <v>13696</v>
      </c>
      <c r="E46" s="167">
        <v>11595.3</v>
      </c>
      <c r="F46" s="167">
        <v>12184.4</v>
      </c>
      <c r="G46" s="167">
        <v>10784.5</v>
      </c>
      <c r="H46" s="167">
        <v>8973.6</v>
      </c>
      <c r="I46" s="168">
        <v>9236.3130000000001</v>
      </c>
      <c r="J46" s="168">
        <v>8374.3369999999995</v>
      </c>
    </row>
    <row r="47" spans="1:21" ht="14.45" customHeight="1" x14ac:dyDescent="0.2">
      <c r="A47" s="15" t="s">
        <v>366</v>
      </c>
      <c r="B47" s="169"/>
      <c r="C47" s="170">
        <v>37707.9</v>
      </c>
      <c r="D47" s="170">
        <v>37284.5</v>
      </c>
      <c r="E47" s="170">
        <v>32889.5</v>
      </c>
      <c r="F47" s="170">
        <v>34242</v>
      </c>
      <c r="G47" s="170">
        <v>32759.5</v>
      </c>
      <c r="H47" s="170">
        <v>30825</v>
      </c>
      <c r="I47" s="171">
        <f>SUM(I43:I46)</f>
        <v>31309.868999999999</v>
      </c>
      <c r="J47" s="171">
        <f>SUM(J43:J46)</f>
        <v>30738.539000000001</v>
      </c>
    </row>
    <row r="48" spans="1:21" ht="23.25" customHeight="1" x14ac:dyDescent="0.2">
      <c r="A48" s="507" t="s">
        <v>386</v>
      </c>
      <c r="B48" s="507"/>
      <c r="C48" s="172">
        <v>38187.1</v>
      </c>
      <c r="D48" s="172">
        <v>37750.800000000003</v>
      </c>
      <c r="E48" s="172">
        <v>33360</v>
      </c>
      <c r="F48" s="172">
        <v>34671.699999999997</v>
      </c>
      <c r="G48" s="172">
        <v>33134.199999999997</v>
      </c>
      <c r="H48" s="172">
        <v>31199</v>
      </c>
      <c r="I48" s="173">
        <f>SUM(I42+I47)</f>
        <v>31659.16</v>
      </c>
      <c r="J48" s="173">
        <f>SUM(J42+J47)</f>
        <v>31089.743000000002</v>
      </c>
      <c r="L48" s="1" t="s">
        <v>513</v>
      </c>
    </row>
    <row r="49" spans="1:20" ht="21.75" customHeight="1" x14ac:dyDescent="0.2">
      <c r="A49" s="507" t="s">
        <v>387</v>
      </c>
      <c r="B49" s="507"/>
      <c r="C49" s="162">
        <v>104.6</v>
      </c>
      <c r="D49" s="162">
        <v>103.4</v>
      </c>
      <c r="E49" s="162">
        <v>91.4</v>
      </c>
      <c r="F49" s="162">
        <v>95</v>
      </c>
      <c r="G49" s="162">
        <v>90.8</v>
      </c>
      <c r="H49" s="162">
        <v>85.5</v>
      </c>
      <c r="I49" s="163">
        <f>I48/365</f>
        <v>86.737424657534248</v>
      </c>
      <c r="J49" s="163">
        <f>J48/366</f>
        <v>84.944653005464488</v>
      </c>
      <c r="L49" s="1"/>
    </row>
    <row r="50" spans="1:20" ht="14.45" customHeight="1" x14ac:dyDescent="0.2">
      <c r="A50" s="517"/>
      <c r="B50" s="517"/>
      <c r="C50" s="174"/>
      <c r="D50" s="174"/>
      <c r="E50" s="174"/>
      <c r="F50" s="174"/>
      <c r="G50" s="174"/>
      <c r="H50" s="174"/>
      <c r="I50" s="175"/>
      <c r="J50" s="175"/>
      <c r="K50" s="176"/>
    </row>
    <row r="51" spans="1:20" ht="20.25" customHeight="1" x14ac:dyDescent="0.2">
      <c r="A51" s="432" t="s">
        <v>388</v>
      </c>
      <c r="B51" s="432"/>
      <c r="C51" s="177">
        <v>61143.1</v>
      </c>
      <c r="D51" s="177">
        <v>63046.6</v>
      </c>
      <c r="E51" s="177">
        <v>54532.800000000003</v>
      </c>
      <c r="F51" s="177">
        <v>49444.7</v>
      </c>
      <c r="G51" s="177">
        <v>49034.5</v>
      </c>
      <c r="H51" s="177">
        <v>49036</v>
      </c>
      <c r="I51" s="178">
        <f>SUM(I36+I48)</f>
        <v>50998.228999999999</v>
      </c>
      <c r="J51" s="178">
        <f>SUM(J36+J48)</f>
        <v>45611.582999999999</v>
      </c>
    </row>
    <row r="52" spans="1:20" ht="24" customHeight="1" x14ac:dyDescent="0.2">
      <c r="A52" s="432" t="s">
        <v>389</v>
      </c>
      <c r="B52" s="432"/>
      <c r="C52" s="108">
        <v>167.5</v>
      </c>
      <c r="D52" s="108">
        <v>172.7</v>
      </c>
      <c r="E52" s="108">
        <v>149.4</v>
      </c>
      <c r="F52" s="108">
        <v>135.5</v>
      </c>
      <c r="G52" s="108">
        <v>134.30000000000001</v>
      </c>
      <c r="H52" s="108">
        <v>134.30000000000001</v>
      </c>
      <c r="I52" s="178">
        <v>139.721</v>
      </c>
      <c r="J52" s="178">
        <f>+J51/366</f>
        <v>124.62181147540983</v>
      </c>
    </row>
    <row r="53" spans="1:20" ht="14.45" customHeight="1" x14ac:dyDescent="0.2">
      <c r="H53" s="179"/>
      <c r="M53" s="515" t="s">
        <v>530</v>
      </c>
      <c r="N53" s="515"/>
      <c r="O53" s="515"/>
      <c r="P53" s="515"/>
      <c r="Q53" s="515"/>
      <c r="R53" s="515"/>
    </row>
    <row r="54" spans="1:20" ht="14.45" customHeight="1" x14ac:dyDescent="0.2">
      <c r="A54" s="1" t="s">
        <v>513</v>
      </c>
      <c r="M54" s="515"/>
      <c r="N54" s="515"/>
      <c r="O54" s="515"/>
      <c r="P54" s="515"/>
      <c r="Q54" s="515"/>
      <c r="R54" s="515"/>
    </row>
    <row r="55" spans="1:20" ht="14.45" customHeight="1" x14ac:dyDescent="0.2">
      <c r="M55" s="180"/>
      <c r="N55" s="180">
        <v>2019</v>
      </c>
      <c r="O55" s="180">
        <v>2020</v>
      </c>
      <c r="P55" s="181">
        <v>2021</v>
      </c>
      <c r="Q55" s="181">
        <v>2022</v>
      </c>
      <c r="R55" s="181">
        <v>2023</v>
      </c>
      <c r="S55" s="181">
        <v>2024</v>
      </c>
      <c r="T55" s="181">
        <v>2025</v>
      </c>
    </row>
    <row r="56" spans="1:20" ht="14.45" customHeight="1" x14ac:dyDescent="0.2">
      <c r="M56" s="182" t="s">
        <v>390</v>
      </c>
      <c r="N56" s="183">
        <v>61.847999999999999</v>
      </c>
      <c r="O56" s="183">
        <v>78.873999999999995</v>
      </c>
      <c r="P56" s="184">
        <v>44.167999999999999</v>
      </c>
      <c r="Q56" s="184">
        <v>57.551000000000002</v>
      </c>
      <c r="R56" s="184">
        <v>60.139000000000003</v>
      </c>
      <c r="S56" s="184">
        <v>60.936</v>
      </c>
      <c r="T56" s="184">
        <v>63.066000000000003</v>
      </c>
    </row>
    <row r="57" spans="1:20" ht="14.45" customHeight="1" x14ac:dyDescent="0.2">
      <c r="M57" s="180" t="s">
        <v>391</v>
      </c>
      <c r="N57" s="185">
        <v>84.105999999999995</v>
      </c>
      <c r="O57" s="185">
        <v>86.171000000000006</v>
      </c>
      <c r="P57" s="186">
        <v>84.311999999999998</v>
      </c>
      <c r="Q57" s="186">
        <v>81.766000000000005</v>
      </c>
      <c r="R57" s="186">
        <v>78.757000000000005</v>
      </c>
      <c r="S57" s="186">
        <v>75.747</v>
      </c>
      <c r="T57" s="186">
        <v>72.738</v>
      </c>
    </row>
    <row r="58" spans="1:20" ht="14.45" customHeight="1" x14ac:dyDescent="0.2">
      <c r="P58" s="268">
        <f>SUM(P56:P57)</f>
        <v>128.47999999999999</v>
      </c>
      <c r="Q58" s="268">
        <f t="shared" ref="Q58:T58" si="0">SUM(Q56:Q57)</f>
        <v>139.31700000000001</v>
      </c>
      <c r="R58" s="268">
        <f t="shared" si="0"/>
        <v>138.89600000000002</v>
      </c>
      <c r="S58" s="268">
        <f t="shared" si="0"/>
        <v>136.68299999999999</v>
      </c>
      <c r="T58" s="268">
        <f t="shared" si="0"/>
        <v>135.804</v>
      </c>
    </row>
    <row r="73" spans="13:13" ht="14.45" customHeight="1" x14ac:dyDescent="0.2">
      <c r="M73" s="1" t="s">
        <v>513</v>
      </c>
    </row>
  </sheetData>
  <mergeCells count="18">
    <mergeCell ref="A51:B51"/>
    <mergeCell ref="A52:B52"/>
    <mergeCell ref="M53:R54"/>
    <mergeCell ref="A37:B37"/>
    <mergeCell ref="A38:H38"/>
    <mergeCell ref="A39:I39"/>
    <mergeCell ref="A48:B48"/>
    <mergeCell ref="A49:B49"/>
    <mergeCell ref="A50:B50"/>
    <mergeCell ref="A36:B36"/>
    <mergeCell ref="A2:J2"/>
    <mergeCell ref="S42:U44"/>
    <mergeCell ref="S19:U21"/>
    <mergeCell ref="A4:J4"/>
    <mergeCell ref="A5:J5"/>
    <mergeCell ref="A6:J6"/>
    <mergeCell ref="L9:Q10"/>
    <mergeCell ref="L30:Q31"/>
  </mergeCells>
  <pageMargins left="0.7" right="0.7" top="0.75" bottom="0.75" header="0.3" footer="0.3"/>
  <pageSetup scale="94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O69"/>
  <sheetViews>
    <sheetView showGridLines="0" zoomScaleNormal="100" workbookViewId="0">
      <selection activeCell="C36" sqref="C36"/>
    </sheetView>
  </sheetViews>
  <sheetFormatPr baseColWidth="10" defaultColWidth="13.7109375" defaultRowHeight="14.45" customHeight="1" x14ac:dyDescent="0.25"/>
  <cols>
    <col min="1" max="1" width="13.7109375" style="1"/>
    <col min="2" max="2" width="18.42578125" style="2" customWidth="1"/>
    <col min="3" max="14" width="13.7109375" style="3"/>
    <col min="15" max="15" width="15" style="3" bestFit="1" customWidth="1"/>
    <col min="16" max="16384" width="13.7109375" style="3"/>
  </cols>
  <sheetData>
    <row r="2" spans="1:15" ht="14.45" customHeight="1" x14ac:dyDescent="0.2">
      <c r="A2" s="488" t="s">
        <v>531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</row>
    <row r="4" spans="1:15" s="2" customFormat="1" ht="14.45" customHeight="1" x14ac:dyDescent="0.25">
      <c r="A4" s="465" t="s">
        <v>392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</row>
    <row r="5" spans="1:15" s="2" customFormat="1" ht="14.45" customHeight="1" x14ac:dyDescent="0.25">
      <c r="A5" s="465">
        <v>2020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</row>
    <row r="6" spans="1:15" s="2" customFormat="1" ht="14.45" customHeight="1" x14ac:dyDescent="0.25">
      <c r="A6" s="59" t="s">
        <v>3</v>
      </c>
      <c r="B6" s="59" t="s">
        <v>4</v>
      </c>
      <c r="C6" s="59" t="s">
        <v>339</v>
      </c>
      <c r="D6" s="59" t="s">
        <v>340</v>
      </c>
      <c r="E6" s="59" t="s">
        <v>341</v>
      </c>
      <c r="F6" s="59" t="s">
        <v>342</v>
      </c>
      <c r="G6" s="59" t="s">
        <v>343</v>
      </c>
      <c r="H6" s="59" t="s">
        <v>344</v>
      </c>
      <c r="I6" s="59" t="s">
        <v>345</v>
      </c>
      <c r="J6" s="59" t="s">
        <v>346</v>
      </c>
      <c r="K6" s="59" t="s">
        <v>347</v>
      </c>
      <c r="L6" s="59" t="s">
        <v>348</v>
      </c>
      <c r="M6" s="59" t="s">
        <v>349</v>
      </c>
      <c r="N6" s="59" t="s">
        <v>350</v>
      </c>
      <c r="O6" s="59" t="s">
        <v>393</v>
      </c>
    </row>
    <row r="7" spans="1:15" ht="14.45" customHeight="1" x14ac:dyDescent="0.25">
      <c r="A7" s="9" t="s">
        <v>62</v>
      </c>
      <c r="B7" s="110" t="s">
        <v>154</v>
      </c>
      <c r="C7" s="11">
        <v>115779</v>
      </c>
      <c r="D7" s="11">
        <v>118066</v>
      </c>
      <c r="E7" s="11">
        <v>122687</v>
      </c>
      <c r="F7" s="11">
        <v>105254</v>
      </c>
      <c r="G7" s="11">
        <v>103203</v>
      </c>
      <c r="H7" s="11">
        <v>113683</v>
      </c>
      <c r="I7" s="11">
        <v>115160</v>
      </c>
      <c r="J7" s="11">
        <v>113418</v>
      </c>
      <c r="K7" s="11">
        <v>104700</v>
      </c>
      <c r="L7" s="11">
        <v>107738</v>
      </c>
      <c r="M7" s="11">
        <v>106158</v>
      </c>
      <c r="N7" s="11">
        <v>111481</v>
      </c>
      <c r="O7" s="11">
        <f t="shared" ref="O7:O12" si="0">SUM(C7:N7)</f>
        <v>1337327</v>
      </c>
    </row>
    <row r="8" spans="1:15" ht="14.45" customHeight="1" x14ac:dyDescent="0.25">
      <c r="A8" s="9" t="s">
        <v>155</v>
      </c>
      <c r="B8" s="110" t="s">
        <v>156</v>
      </c>
      <c r="C8" s="11">
        <v>54669.5389</v>
      </c>
      <c r="D8" s="11">
        <v>63867.331700000002</v>
      </c>
      <c r="E8" s="11">
        <v>41253.3626</v>
      </c>
      <c r="F8" s="11">
        <v>14357.438599999999</v>
      </c>
      <c r="G8" s="11">
        <v>20492.978500000001</v>
      </c>
      <c r="H8" s="11">
        <v>42012.871099999997</v>
      </c>
      <c r="I8" s="11">
        <v>57427.730799999998</v>
      </c>
      <c r="J8" s="11">
        <v>44280.935100000002</v>
      </c>
      <c r="K8" s="11">
        <v>37686.5</v>
      </c>
      <c r="L8" s="11">
        <v>56841.511100000003</v>
      </c>
      <c r="M8" s="11">
        <v>50439.773300000001</v>
      </c>
      <c r="N8" s="11">
        <v>45457.8125</v>
      </c>
      <c r="O8" s="11">
        <f t="shared" si="0"/>
        <v>528787.78419999999</v>
      </c>
    </row>
    <row r="9" spans="1:15" ht="14.45" customHeight="1" x14ac:dyDescent="0.25">
      <c r="A9" s="9" t="s">
        <v>62</v>
      </c>
      <c r="B9" s="110" t="s">
        <v>63</v>
      </c>
      <c r="C9" s="11">
        <v>8648.1903000000002</v>
      </c>
      <c r="D9" s="11">
        <v>7933.4013999999997</v>
      </c>
      <c r="E9" s="11">
        <v>9898.0612000000001</v>
      </c>
      <c r="F9" s="11">
        <v>8976.5023000000001</v>
      </c>
      <c r="G9" s="11">
        <v>7023.7415000000001</v>
      </c>
      <c r="H9" s="11">
        <v>8927.7973999999995</v>
      </c>
      <c r="I9" s="11">
        <v>12101.4318</v>
      </c>
      <c r="J9" s="11">
        <v>10659.318499999999</v>
      </c>
      <c r="K9" s="11">
        <v>28265.415300000001</v>
      </c>
      <c r="L9" s="11">
        <v>34086.873399999997</v>
      </c>
      <c r="M9" s="11">
        <v>29318.901900000001</v>
      </c>
      <c r="N9" s="11">
        <v>37010.176800000001</v>
      </c>
      <c r="O9" s="11">
        <f t="shared" si="0"/>
        <v>202849.81180000002</v>
      </c>
    </row>
    <row r="10" spans="1:15" ht="14.45" customHeight="1" x14ac:dyDescent="0.25">
      <c r="A10" s="9" t="s">
        <v>158</v>
      </c>
      <c r="B10" s="110" t="s">
        <v>353</v>
      </c>
      <c r="C10" s="11">
        <v>121836</v>
      </c>
      <c r="D10" s="11">
        <v>116974</v>
      </c>
      <c r="E10" s="11">
        <v>126917</v>
      </c>
      <c r="F10" s="11">
        <v>119708</v>
      </c>
      <c r="G10" s="11">
        <v>61183</v>
      </c>
      <c r="H10" s="11">
        <v>88095</v>
      </c>
      <c r="I10" s="11">
        <v>102337</v>
      </c>
      <c r="J10" s="11">
        <v>104954</v>
      </c>
      <c r="K10" s="11">
        <v>118402</v>
      </c>
      <c r="L10" s="11">
        <v>92291</v>
      </c>
      <c r="M10" s="11">
        <v>108147</v>
      </c>
      <c r="N10" s="11">
        <v>116720</v>
      </c>
      <c r="O10" s="11">
        <f t="shared" si="0"/>
        <v>1277564</v>
      </c>
    </row>
    <row r="11" spans="1:15" ht="14.45" customHeight="1" x14ac:dyDescent="0.25">
      <c r="A11" s="9" t="s">
        <v>26</v>
      </c>
      <c r="B11" s="110" t="s">
        <v>65</v>
      </c>
      <c r="C11" s="11">
        <v>465205</v>
      </c>
      <c r="D11" s="11">
        <v>462185</v>
      </c>
      <c r="E11" s="11">
        <v>466500</v>
      </c>
      <c r="F11" s="11">
        <v>418652</v>
      </c>
      <c r="G11" s="11">
        <v>449673</v>
      </c>
      <c r="H11" s="11">
        <v>458689</v>
      </c>
      <c r="I11" s="11">
        <v>486425</v>
      </c>
      <c r="J11" s="11">
        <v>489164</v>
      </c>
      <c r="K11" s="11">
        <v>465488</v>
      </c>
      <c r="L11" s="11">
        <v>479209</v>
      </c>
      <c r="M11" s="11">
        <v>464294</v>
      </c>
      <c r="N11" s="11">
        <v>488252</v>
      </c>
      <c r="O11" s="11">
        <f t="shared" si="0"/>
        <v>5593736</v>
      </c>
    </row>
    <row r="12" spans="1:15" ht="14.45" customHeight="1" x14ac:dyDescent="0.25">
      <c r="A12" s="9" t="s">
        <v>66</v>
      </c>
      <c r="B12" s="110" t="s">
        <v>11</v>
      </c>
      <c r="C12" s="11">
        <v>679024.27930000005</v>
      </c>
      <c r="D12" s="11">
        <v>434473.49400000001</v>
      </c>
      <c r="E12" s="11">
        <v>300683.51429999998</v>
      </c>
      <c r="F12" s="11">
        <v>279623.5208</v>
      </c>
      <c r="G12" s="11">
        <v>325317.25209999998</v>
      </c>
      <c r="H12" s="11">
        <v>358924.27750000003</v>
      </c>
      <c r="I12" s="11">
        <v>438472.29310000001</v>
      </c>
      <c r="J12" s="11">
        <v>407429.2671</v>
      </c>
      <c r="K12" s="11">
        <v>426831.48700000002</v>
      </c>
      <c r="L12" s="11">
        <v>431202.20250000001</v>
      </c>
      <c r="M12" s="11">
        <v>373679.49959999998</v>
      </c>
      <c r="N12" s="11">
        <v>403168.65990000003</v>
      </c>
      <c r="O12" s="11">
        <f t="shared" si="0"/>
        <v>4858829.7472000001</v>
      </c>
    </row>
    <row r="13" spans="1:15" ht="14.45" customHeight="1" x14ac:dyDescent="0.25">
      <c r="A13" s="439" t="s">
        <v>355</v>
      </c>
      <c r="B13" s="439"/>
      <c r="C13" s="16">
        <f t="shared" ref="C13:O13" si="1">SUM(C7:C12)</f>
        <v>1445162.0085</v>
      </c>
      <c r="D13" s="16">
        <f t="shared" si="1"/>
        <v>1203499.2271</v>
      </c>
      <c r="E13" s="16">
        <f t="shared" si="1"/>
        <v>1067938.9380999999</v>
      </c>
      <c r="F13" s="16">
        <f t="shared" si="1"/>
        <v>946571.4617000001</v>
      </c>
      <c r="G13" s="16">
        <f t="shared" si="1"/>
        <v>966892.9720999999</v>
      </c>
      <c r="H13" s="16">
        <f t="shared" si="1"/>
        <v>1070331.946</v>
      </c>
      <c r="I13" s="16">
        <f t="shared" si="1"/>
        <v>1211923.4556999998</v>
      </c>
      <c r="J13" s="16">
        <f t="shared" si="1"/>
        <v>1169905.5207</v>
      </c>
      <c r="K13" s="16">
        <f t="shared" si="1"/>
        <v>1181373.4023</v>
      </c>
      <c r="L13" s="16">
        <f t="shared" si="1"/>
        <v>1201368.5869999998</v>
      </c>
      <c r="M13" s="16">
        <f t="shared" si="1"/>
        <v>1132037.1747999999</v>
      </c>
      <c r="N13" s="16">
        <f t="shared" si="1"/>
        <v>1202089.6492000001</v>
      </c>
      <c r="O13" s="16">
        <f t="shared" si="1"/>
        <v>13799094.343200002</v>
      </c>
    </row>
    <row r="14" spans="1:15" ht="14.45" customHeight="1" x14ac:dyDescent="0.25">
      <c r="A14" s="9" t="s">
        <v>75</v>
      </c>
      <c r="B14" s="110" t="s">
        <v>76</v>
      </c>
      <c r="C14" s="11">
        <v>160294.4325</v>
      </c>
      <c r="D14" s="11">
        <v>101826.36569999999</v>
      </c>
      <c r="E14" s="11">
        <v>80501.760399999999</v>
      </c>
      <c r="F14" s="11">
        <v>38888.951300000001</v>
      </c>
      <c r="G14" s="11">
        <v>91474.433900000004</v>
      </c>
      <c r="H14" s="11">
        <v>174158.25690000001</v>
      </c>
      <c r="I14" s="11">
        <v>172951.28820000001</v>
      </c>
      <c r="J14" s="11">
        <v>184729.22870000001</v>
      </c>
      <c r="K14" s="11">
        <v>164822.63320000001</v>
      </c>
      <c r="L14" s="11">
        <v>225642.60690000001</v>
      </c>
      <c r="M14" s="11">
        <v>205064.42449999999</v>
      </c>
      <c r="N14" s="11">
        <v>198923.60819999999</v>
      </c>
      <c r="O14" s="11">
        <f>SUM(C14:N14)</f>
        <v>1799277.9903999998</v>
      </c>
    </row>
    <row r="15" spans="1:15" ht="14.45" customHeight="1" x14ac:dyDescent="0.25">
      <c r="A15" s="439" t="s">
        <v>394</v>
      </c>
      <c r="B15" s="439"/>
      <c r="C15" s="16">
        <f>SUM(C14)</f>
        <v>160294.4325</v>
      </c>
      <c r="D15" s="16">
        <f t="shared" ref="D15:O15" si="2">SUM(D14)</f>
        <v>101826.36569999999</v>
      </c>
      <c r="E15" s="16">
        <f t="shared" si="2"/>
        <v>80501.760399999999</v>
      </c>
      <c r="F15" s="16">
        <f t="shared" si="2"/>
        <v>38888.951300000001</v>
      </c>
      <c r="G15" s="16">
        <f t="shared" si="2"/>
        <v>91474.433900000004</v>
      </c>
      <c r="H15" s="16">
        <f t="shared" si="2"/>
        <v>174158.25690000001</v>
      </c>
      <c r="I15" s="16">
        <f t="shared" si="2"/>
        <v>172951.28820000001</v>
      </c>
      <c r="J15" s="16">
        <f t="shared" si="2"/>
        <v>184729.22870000001</v>
      </c>
      <c r="K15" s="16">
        <f t="shared" si="2"/>
        <v>164822.63320000001</v>
      </c>
      <c r="L15" s="16">
        <f t="shared" si="2"/>
        <v>225642.60690000001</v>
      </c>
      <c r="M15" s="16">
        <f t="shared" si="2"/>
        <v>205064.42449999999</v>
      </c>
      <c r="N15" s="16">
        <f t="shared" si="2"/>
        <v>198923.60819999999</v>
      </c>
      <c r="O15" s="16">
        <f t="shared" si="2"/>
        <v>1799277.9903999998</v>
      </c>
    </row>
    <row r="16" spans="1:15" ht="14.45" customHeight="1" x14ac:dyDescent="0.25">
      <c r="A16" s="9" t="s">
        <v>162</v>
      </c>
      <c r="B16" s="110" t="s">
        <v>385</v>
      </c>
      <c r="C16" s="11">
        <v>94062.267999999996</v>
      </c>
      <c r="D16" s="11">
        <v>110082.394</v>
      </c>
      <c r="E16" s="11">
        <v>6999.1229999999996</v>
      </c>
      <c r="F16" s="11">
        <v>2178.3825999999999</v>
      </c>
      <c r="G16" s="11">
        <v>1938.6777999999999</v>
      </c>
      <c r="H16" s="11">
        <v>2841.9488000000001</v>
      </c>
      <c r="I16" s="11">
        <v>986.1902</v>
      </c>
      <c r="J16" s="11">
        <v>1339.923</v>
      </c>
      <c r="K16" s="11">
        <v>26980.649799999999</v>
      </c>
      <c r="L16" s="11">
        <v>142020.22349999999</v>
      </c>
      <c r="M16" s="11">
        <v>540759.87</v>
      </c>
      <c r="N16" s="11">
        <v>29650.6057</v>
      </c>
      <c r="O16" s="11">
        <f>SUM(C16:N16)</f>
        <v>959840.25639999995</v>
      </c>
    </row>
    <row r="17" spans="1:15" ht="14.45" customHeight="1" x14ac:dyDescent="0.25">
      <c r="A17" s="9" t="s">
        <v>30</v>
      </c>
      <c r="B17" s="110">
        <v>57</v>
      </c>
      <c r="C17" s="11">
        <v>5842274.4193000002</v>
      </c>
      <c r="D17" s="11">
        <v>5903146.0099999998</v>
      </c>
      <c r="E17" s="11">
        <v>5072876.5199999996</v>
      </c>
      <c r="F17" s="11">
        <v>5521673.8081</v>
      </c>
      <c r="G17" s="11">
        <v>5232815.0455999998</v>
      </c>
      <c r="H17" s="11">
        <v>2647071.5849000001</v>
      </c>
      <c r="I17" s="11">
        <v>6098706.6870999997</v>
      </c>
      <c r="J17" s="11">
        <v>5468305.2482000003</v>
      </c>
      <c r="K17" s="11">
        <v>5493383.9007000001</v>
      </c>
      <c r="L17" s="11">
        <v>4955570.1253000004</v>
      </c>
      <c r="M17" s="11">
        <v>5811305.7000000002</v>
      </c>
      <c r="N17" s="11">
        <v>6271427.3200000003</v>
      </c>
      <c r="O17" s="11">
        <f>SUM(C17:N17)</f>
        <v>64318556.369199999</v>
      </c>
    </row>
    <row r="18" spans="1:15" ht="14.45" customHeight="1" x14ac:dyDescent="0.25">
      <c r="A18" s="518" t="s">
        <v>395</v>
      </c>
      <c r="B18" s="110">
        <v>56</v>
      </c>
      <c r="C18" s="11">
        <v>12487161.865499999</v>
      </c>
      <c r="D18" s="11">
        <v>11351227.6143</v>
      </c>
      <c r="E18" s="11">
        <v>9787158.3256000001</v>
      </c>
      <c r="F18" s="11">
        <v>11851162.593800001</v>
      </c>
      <c r="G18" s="11">
        <v>11271492.6182</v>
      </c>
      <c r="H18" s="11">
        <v>5430547.3733999999</v>
      </c>
      <c r="I18" s="11">
        <v>13663477.1204</v>
      </c>
      <c r="J18" s="11">
        <v>11476071.028100001</v>
      </c>
      <c r="K18" s="11">
        <v>11177603.135399999</v>
      </c>
      <c r="L18" s="11">
        <v>9441790.7949999999</v>
      </c>
      <c r="M18" s="11">
        <v>11396825.143200001</v>
      </c>
      <c r="N18" s="11">
        <v>13800325.6644</v>
      </c>
      <c r="O18" s="11">
        <f>SUM(C18:N18)</f>
        <v>133134843.27729999</v>
      </c>
    </row>
    <row r="19" spans="1:15" ht="14.45" customHeight="1" x14ac:dyDescent="0.25">
      <c r="A19" s="518"/>
      <c r="B19" s="110">
        <v>88</v>
      </c>
      <c r="C19" s="11">
        <v>17534386.445700001</v>
      </c>
      <c r="D19" s="11">
        <v>17573597.309599999</v>
      </c>
      <c r="E19" s="11">
        <v>11987136.5743</v>
      </c>
      <c r="F19" s="11">
        <v>5344889.6963999998</v>
      </c>
      <c r="G19" s="11">
        <v>8658757.8497000001</v>
      </c>
      <c r="H19" s="11">
        <v>15658283.9133</v>
      </c>
      <c r="I19" s="11">
        <v>20581101.557500001</v>
      </c>
      <c r="J19" s="11">
        <v>21957958.8255</v>
      </c>
      <c r="K19" s="11">
        <v>22245123.3497</v>
      </c>
      <c r="L19" s="11">
        <v>22933286.553399999</v>
      </c>
      <c r="M19" s="11">
        <v>25636648.4606</v>
      </c>
      <c r="N19" s="11">
        <v>20704563.702199999</v>
      </c>
      <c r="O19" s="11">
        <f>SUM(C19:N19)</f>
        <v>210815734.23789999</v>
      </c>
    </row>
    <row r="20" spans="1:15" ht="14.45" customHeight="1" x14ac:dyDescent="0.25">
      <c r="A20" s="439" t="s">
        <v>361</v>
      </c>
      <c r="B20" s="439"/>
      <c r="C20" s="16">
        <f>SUM(C16:C19)</f>
        <v>35957884.998500004</v>
      </c>
      <c r="D20" s="16">
        <f t="shared" ref="D20:O20" si="3">SUM(D16:D19)</f>
        <v>34938053.3279</v>
      </c>
      <c r="E20" s="16">
        <f t="shared" si="3"/>
        <v>26854170.5429</v>
      </c>
      <c r="F20" s="16">
        <f t="shared" si="3"/>
        <v>22719904.480900005</v>
      </c>
      <c r="G20" s="16">
        <f t="shared" si="3"/>
        <v>25165004.191300001</v>
      </c>
      <c r="H20" s="16">
        <f t="shared" si="3"/>
        <v>23738744.8204</v>
      </c>
      <c r="I20" s="16">
        <f t="shared" si="3"/>
        <v>40344271.555199996</v>
      </c>
      <c r="J20" s="16">
        <f t="shared" si="3"/>
        <v>38903675.024800003</v>
      </c>
      <c r="K20" s="16">
        <f t="shared" si="3"/>
        <v>38943091.035599999</v>
      </c>
      <c r="L20" s="16">
        <f t="shared" si="3"/>
        <v>37472667.6972</v>
      </c>
      <c r="M20" s="16">
        <f t="shared" si="3"/>
        <v>43385539.173800007</v>
      </c>
      <c r="N20" s="16">
        <f t="shared" si="3"/>
        <v>40805967.292300001</v>
      </c>
      <c r="O20" s="16">
        <f t="shared" si="3"/>
        <v>409228974.1408</v>
      </c>
    </row>
    <row r="21" spans="1:15" ht="14.45" customHeight="1" x14ac:dyDescent="0.25">
      <c r="A21" s="21" t="s">
        <v>166</v>
      </c>
      <c r="B21" s="59"/>
      <c r="C21" s="22">
        <f>SUM(C13+C15+C20)-1</f>
        <v>37563340.439500004</v>
      </c>
      <c r="D21" s="22">
        <f t="shared" ref="D21:M21" si="4">SUM(D13+D15+D20)</f>
        <v>36243378.920699999</v>
      </c>
      <c r="E21" s="22">
        <f t="shared" si="4"/>
        <v>28002611.2414</v>
      </c>
      <c r="F21" s="22">
        <f>SUM(F13+F15+F20)-1</f>
        <v>23705363.893900003</v>
      </c>
      <c r="G21" s="22">
        <f t="shared" si="4"/>
        <v>26223371.5973</v>
      </c>
      <c r="H21" s="22">
        <f t="shared" si="4"/>
        <v>24983235.0233</v>
      </c>
      <c r="I21" s="22">
        <f t="shared" si="4"/>
        <v>41729146.299099997</v>
      </c>
      <c r="J21" s="22">
        <f>SUM(J13+J15+J20)+1</f>
        <v>40258310.7742</v>
      </c>
      <c r="K21" s="22">
        <f>SUM(K13+K15+K20)-1</f>
        <v>40289286.071099997</v>
      </c>
      <c r="L21" s="22">
        <f t="shared" si="4"/>
        <v>38899678.891099997</v>
      </c>
      <c r="M21" s="22">
        <f t="shared" si="4"/>
        <v>44722640.773100004</v>
      </c>
      <c r="N21" s="22">
        <f>SUM(N13+N15+N20)+1</f>
        <v>42206981.549699999</v>
      </c>
      <c r="O21" s="22">
        <f>SUM(O13+O15+O20)</f>
        <v>424827346.47439998</v>
      </c>
    </row>
    <row r="23" spans="1:15" ht="14.45" customHeight="1" x14ac:dyDescent="0.25">
      <c r="A23" s="1" t="s">
        <v>513</v>
      </c>
    </row>
    <row r="24" spans="1:15" ht="14.45" customHeight="1" x14ac:dyDescent="0.2">
      <c r="B24" s="187"/>
      <c r="C24" s="188">
        <v>43831</v>
      </c>
      <c r="D24" s="188">
        <v>43862</v>
      </c>
      <c r="E24" s="188">
        <v>43891</v>
      </c>
      <c r="F24" s="188">
        <v>43922</v>
      </c>
      <c r="G24" s="188">
        <v>43952</v>
      </c>
      <c r="H24" s="188">
        <v>43983</v>
      </c>
      <c r="I24" s="188">
        <v>44013</v>
      </c>
      <c r="J24" s="188">
        <v>44044</v>
      </c>
      <c r="K24" s="188">
        <v>44075</v>
      </c>
      <c r="L24" s="188">
        <v>44105</v>
      </c>
      <c r="M24" s="188">
        <v>44136</v>
      </c>
      <c r="N24" s="188">
        <v>44166</v>
      </c>
      <c r="O24" s="187"/>
    </row>
    <row r="25" spans="1:15" ht="14.45" customHeight="1" x14ac:dyDescent="0.2">
      <c r="B25" s="187" t="s">
        <v>396</v>
      </c>
      <c r="C25" s="189">
        <f>+C13+C15</f>
        <v>1605456.4410000001</v>
      </c>
      <c r="D25" s="189">
        <f t="shared" ref="D25:N25" si="5">+D13+D15</f>
        <v>1305325.5928</v>
      </c>
      <c r="E25" s="189">
        <f t="shared" si="5"/>
        <v>1148440.6984999999</v>
      </c>
      <c r="F25" s="189">
        <f t="shared" si="5"/>
        <v>985460.41300000006</v>
      </c>
      <c r="G25" s="189">
        <f t="shared" si="5"/>
        <v>1058367.406</v>
      </c>
      <c r="H25" s="189">
        <f t="shared" si="5"/>
        <v>1244490.2028999999</v>
      </c>
      <c r="I25" s="189">
        <f t="shared" si="5"/>
        <v>1384874.7438999999</v>
      </c>
      <c r="J25" s="189">
        <f t="shared" si="5"/>
        <v>1354634.7494000001</v>
      </c>
      <c r="K25" s="189">
        <f t="shared" si="5"/>
        <v>1346196.0355</v>
      </c>
      <c r="L25" s="189">
        <f t="shared" si="5"/>
        <v>1427011.1938999998</v>
      </c>
      <c r="M25" s="189">
        <f t="shared" si="5"/>
        <v>1337101.5992999999</v>
      </c>
      <c r="N25" s="189">
        <f t="shared" si="5"/>
        <v>1401013.2574</v>
      </c>
      <c r="O25" s="187"/>
    </row>
    <row r="26" spans="1:15" ht="14.45" customHeight="1" x14ac:dyDescent="0.2">
      <c r="B26" s="187" t="s">
        <v>397</v>
      </c>
      <c r="C26" s="189">
        <f>+C20</f>
        <v>35957884.998500004</v>
      </c>
      <c r="D26" s="189">
        <f t="shared" ref="D26:N26" si="6">+D20</f>
        <v>34938053.3279</v>
      </c>
      <c r="E26" s="189">
        <f t="shared" si="6"/>
        <v>26854170.5429</v>
      </c>
      <c r="F26" s="189">
        <f t="shared" si="6"/>
        <v>22719904.480900005</v>
      </c>
      <c r="G26" s="189">
        <f t="shared" si="6"/>
        <v>25165004.191300001</v>
      </c>
      <c r="H26" s="189">
        <f t="shared" si="6"/>
        <v>23738744.8204</v>
      </c>
      <c r="I26" s="189">
        <f t="shared" si="6"/>
        <v>40344271.555199996</v>
      </c>
      <c r="J26" s="189">
        <f t="shared" si="6"/>
        <v>38903675.024800003</v>
      </c>
      <c r="K26" s="189">
        <f t="shared" si="6"/>
        <v>38943091.035599999</v>
      </c>
      <c r="L26" s="189">
        <f t="shared" si="6"/>
        <v>37472667.6972</v>
      </c>
      <c r="M26" s="189">
        <f t="shared" si="6"/>
        <v>43385539.173800007</v>
      </c>
      <c r="N26" s="189">
        <f t="shared" si="6"/>
        <v>40805967.292300001</v>
      </c>
      <c r="O26" s="187"/>
    </row>
    <row r="27" spans="1:15" ht="14.45" customHeight="1" x14ac:dyDescent="0.2"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</row>
    <row r="28" spans="1:15" ht="14.45" customHeight="1" x14ac:dyDescent="0.2">
      <c r="B28" s="187" t="s">
        <v>393</v>
      </c>
      <c r="C28" s="189">
        <f>+C25+C26</f>
        <v>37563341.439500004</v>
      </c>
      <c r="D28" s="189">
        <f t="shared" ref="D28:N28" si="7">+D25+D26</f>
        <v>36243378.920699999</v>
      </c>
      <c r="E28" s="189">
        <f t="shared" si="7"/>
        <v>28002611.2414</v>
      </c>
      <c r="F28" s="189">
        <f t="shared" si="7"/>
        <v>23705364.893900003</v>
      </c>
      <c r="G28" s="189">
        <f t="shared" si="7"/>
        <v>26223371.5973</v>
      </c>
      <c r="H28" s="189">
        <f t="shared" si="7"/>
        <v>24983235.0233</v>
      </c>
      <c r="I28" s="189">
        <f t="shared" si="7"/>
        <v>41729146.299099997</v>
      </c>
      <c r="J28" s="189">
        <f t="shared" si="7"/>
        <v>40258309.7742</v>
      </c>
      <c r="K28" s="189">
        <f t="shared" si="7"/>
        <v>40289287.071099997</v>
      </c>
      <c r="L28" s="189">
        <f t="shared" si="7"/>
        <v>38899678.891099997</v>
      </c>
      <c r="M28" s="189">
        <f t="shared" si="7"/>
        <v>44722640.773100004</v>
      </c>
      <c r="N28" s="189">
        <f t="shared" si="7"/>
        <v>42206980.549699999</v>
      </c>
      <c r="O28" s="187"/>
    </row>
    <row r="29" spans="1:15" ht="14.45" customHeight="1" x14ac:dyDescent="0.2">
      <c r="B29" s="187" t="s">
        <v>398</v>
      </c>
      <c r="C29" s="189">
        <f>C28/1000</f>
        <v>37563.341439500007</v>
      </c>
      <c r="D29" s="189">
        <f t="shared" ref="D29:M29" si="8">D28/1000</f>
        <v>36243.378920700001</v>
      </c>
      <c r="E29" s="189">
        <f t="shared" si="8"/>
        <v>28002.611241399998</v>
      </c>
      <c r="F29" s="189">
        <f t="shared" si="8"/>
        <v>23705.364893900005</v>
      </c>
      <c r="G29" s="189">
        <f t="shared" si="8"/>
        <v>26223.3715973</v>
      </c>
      <c r="H29" s="189">
        <f t="shared" si="8"/>
        <v>24983.2350233</v>
      </c>
      <c r="I29" s="189">
        <f t="shared" si="8"/>
        <v>41729.146299099993</v>
      </c>
      <c r="J29" s="189">
        <f t="shared" si="8"/>
        <v>40258.309774200003</v>
      </c>
      <c r="K29" s="189">
        <f t="shared" si="8"/>
        <v>40289.2870711</v>
      </c>
      <c r="L29" s="189">
        <f t="shared" si="8"/>
        <v>38899.678891099997</v>
      </c>
      <c r="M29" s="189">
        <f t="shared" si="8"/>
        <v>44722.640773100007</v>
      </c>
      <c r="N29" s="189">
        <f>N28/1000</f>
        <v>42206.980549699998</v>
      </c>
      <c r="O29" s="187"/>
    </row>
    <row r="30" spans="1:15" ht="14.45" customHeight="1" x14ac:dyDescent="0.2"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</row>
    <row r="31" spans="1:15" ht="14.45" customHeight="1" x14ac:dyDescent="0.2">
      <c r="B31" s="187" t="s">
        <v>396</v>
      </c>
      <c r="C31" s="269">
        <f>C25/1000</f>
        <v>1605.456441</v>
      </c>
      <c r="D31" s="269">
        <f t="shared" ref="D31:N32" si="9">D25/1000</f>
        <v>1305.3255928000001</v>
      </c>
      <c r="E31" s="269">
        <f t="shared" si="9"/>
        <v>1148.4406985000001</v>
      </c>
      <c r="F31" s="269">
        <f t="shared" si="9"/>
        <v>985.46041300000002</v>
      </c>
      <c r="G31" s="269">
        <f t="shared" si="9"/>
        <v>1058.3674059999998</v>
      </c>
      <c r="H31" s="269">
        <f t="shared" si="9"/>
        <v>1244.4902029</v>
      </c>
      <c r="I31" s="269">
        <f t="shared" si="9"/>
        <v>1384.8747438999999</v>
      </c>
      <c r="J31" s="269">
        <f t="shared" si="9"/>
        <v>1354.6347494000001</v>
      </c>
      <c r="K31" s="269">
        <f t="shared" si="9"/>
        <v>1346.1960355000001</v>
      </c>
      <c r="L31" s="269">
        <f t="shared" si="9"/>
        <v>1427.0111938999999</v>
      </c>
      <c r="M31" s="269">
        <f t="shared" si="9"/>
        <v>1337.1015992999999</v>
      </c>
      <c r="N31" s="269">
        <f t="shared" si="9"/>
        <v>1401.0132573999999</v>
      </c>
      <c r="O31" s="187"/>
    </row>
    <row r="32" spans="1:15" ht="14.45" customHeight="1" x14ac:dyDescent="0.2">
      <c r="B32" s="187" t="s">
        <v>397</v>
      </c>
      <c r="C32" s="269">
        <f>C26/1000</f>
        <v>35957.884998500005</v>
      </c>
      <c r="D32" s="269">
        <f t="shared" si="9"/>
        <v>34938.053327900001</v>
      </c>
      <c r="E32" s="269">
        <f t="shared" si="9"/>
        <v>26854.170542899999</v>
      </c>
      <c r="F32" s="269">
        <f t="shared" si="9"/>
        <v>22719.904480900004</v>
      </c>
      <c r="G32" s="269">
        <f t="shared" si="9"/>
        <v>25165.004191300002</v>
      </c>
      <c r="H32" s="269">
        <f t="shared" si="9"/>
        <v>23738.744820399999</v>
      </c>
      <c r="I32" s="269">
        <f t="shared" si="9"/>
        <v>40344.271555199994</v>
      </c>
      <c r="J32" s="269">
        <f t="shared" si="9"/>
        <v>38903.675024800003</v>
      </c>
      <c r="K32" s="269">
        <f t="shared" si="9"/>
        <v>38943.091035600002</v>
      </c>
      <c r="L32" s="269">
        <f t="shared" si="9"/>
        <v>37472.667697199999</v>
      </c>
      <c r="M32" s="269">
        <f t="shared" si="9"/>
        <v>43385.539173800003</v>
      </c>
      <c r="N32" s="269">
        <f t="shared" si="9"/>
        <v>40805.967292300003</v>
      </c>
      <c r="O32" s="187"/>
    </row>
    <row r="36" spans="3:3" ht="18.75" customHeight="1" x14ac:dyDescent="0.2">
      <c r="C36" s="23" t="s">
        <v>540</v>
      </c>
    </row>
    <row r="59" spans="2:2" ht="14.45" customHeight="1" x14ac:dyDescent="0.25">
      <c r="B59" s="1" t="s">
        <v>513</v>
      </c>
    </row>
    <row r="61" spans="2:2" ht="14.45" customHeight="1" x14ac:dyDescent="0.25">
      <c r="B61" s="1"/>
    </row>
    <row r="69" spans="2:2" ht="14.45" customHeight="1" x14ac:dyDescent="0.25">
      <c r="B69" s="1"/>
    </row>
  </sheetData>
  <mergeCells count="7">
    <mergeCell ref="A20:B20"/>
    <mergeCell ref="A2:O2"/>
    <mergeCell ref="A4:O4"/>
    <mergeCell ref="A5:O5"/>
    <mergeCell ref="A13:B13"/>
    <mergeCell ref="A15:B15"/>
    <mergeCell ref="A18:A19"/>
  </mergeCells>
  <pageMargins left="0.7" right="0.7" top="0.75" bottom="0.75" header="0.3" footer="0.3"/>
  <pageSetup scale="43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N79"/>
  <sheetViews>
    <sheetView showGridLines="0" topLeftCell="A28" zoomScaleNormal="100" workbookViewId="0">
      <selection activeCell="A46" sqref="A46"/>
    </sheetView>
  </sheetViews>
  <sheetFormatPr baseColWidth="10" defaultColWidth="9.42578125" defaultRowHeight="11.25" x14ac:dyDescent="0.25"/>
  <cols>
    <col min="1" max="1" width="18.42578125" style="198" customWidth="1"/>
    <col min="2" max="2" width="9.42578125" style="190"/>
    <col min="3" max="3" width="9.42578125" style="192" customWidth="1"/>
    <col min="4" max="16384" width="9.42578125" style="192"/>
  </cols>
  <sheetData>
    <row r="2" spans="1:10" ht="12" x14ac:dyDescent="0.2">
      <c r="A2" s="488" t="s">
        <v>532</v>
      </c>
      <c r="B2" s="488"/>
      <c r="C2" s="488"/>
      <c r="D2" s="488"/>
      <c r="E2" s="488"/>
      <c r="F2" s="488"/>
      <c r="G2" s="488"/>
      <c r="H2" s="488"/>
      <c r="I2" s="488"/>
      <c r="J2" s="488"/>
    </row>
    <row r="4" spans="1:10" s="190" customFormat="1" ht="14.45" customHeight="1" x14ac:dyDescent="0.25">
      <c r="A4" s="465" t="s">
        <v>399</v>
      </c>
      <c r="B4" s="465"/>
      <c r="C4" s="465"/>
      <c r="D4" s="465"/>
      <c r="E4" s="465"/>
      <c r="F4" s="465"/>
      <c r="G4" s="465"/>
      <c r="H4" s="465"/>
      <c r="I4" s="465"/>
      <c r="J4" s="465"/>
    </row>
    <row r="5" spans="1:10" s="190" customFormat="1" ht="14.45" customHeight="1" x14ac:dyDescent="0.25">
      <c r="A5" s="465" t="s">
        <v>400</v>
      </c>
      <c r="B5" s="465"/>
      <c r="C5" s="465"/>
      <c r="D5" s="465"/>
      <c r="E5" s="465"/>
      <c r="F5" s="465"/>
      <c r="G5" s="465"/>
      <c r="H5" s="465"/>
      <c r="I5" s="465"/>
      <c r="J5" s="465"/>
    </row>
    <row r="6" spans="1:10" s="190" customFormat="1" ht="14.45" customHeight="1" x14ac:dyDescent="0.25">
      <c r="A6" s="21" t="s">
        <v>3</v>
      </c>
      <c r="B6" s="59" t="s">
        <v>4</v>
      </c>
      <c r="C6" s="59">
        <v>2013</v>
      </c>
      <c r="D6" s="59">
        <v>2014</v>
      </c>
      <c r="E6" s="59">
        <v>2015</v>
      </c>
      <c r="F6" s="59">
        <v>2016</v>
      </c>
      <c r="G6" s="59">
        <v>2017</v>
      </c>
      <c r="H6" s="59">
        <v>2018</v>
      </c>
      <c r="I6" s="59">
        <v>2019</v>
      </c>
      <c r="J6" s="59">
        <v>2020</v>
      </c>
    </row>
    <row r="7" spans="1:10" ht="14.45" customHeight="1" x14ac:dyDescent="0.25">
      <c r="A7" s="9" t="s">
        <v>62</v>
      </c>
      <c r="B7" s="110" t="s">
        <v>154</v>
      </c>
      <c r="C7" s="191">
        <v>2029.2</v>
      </c>
      <c r="D7" s="191">
        <v>2922.7</v>
      </c>
      <c r="E7" s="191">
        <v>3461.3</v>
      </c>
      <c r="F7" s="191">
        <v>3028.3</v>
      </c>
      <c r="G7" s="191">
        <v>2661.1</v>
      </c>
      <c r="H7" s="191">
        <v>2228.8000000000002</v>
      </c>
      <c r="I7" s="191">
        <v>1770.7429999999999</v>
      </c>
      <c r="J7" s="191">
        <f>+'11'!O7/1000</f>
        <v>1337.327</v>
      </c>
    </row>
    <row r="8" spans="1:10" ht="14.45" customHeight="1" x14ac:dyDescent="0.25">
      <c r="A8" s="9" t="s">
        <v>352</v>
      </c>
      <c r="B8" s="110" t="s">
        <v>156</v>
      </c>
      <c r="C8" s="52">
        <v>393.9</v>
      </c>
      <c r="D8" s="52">
        <v>643</v>
      </c>
      <c r="E8" s="52">
        <v>764.6</v>
      </c>
      <c r="F8" s="52">
        <v>856.3</v>
      </c>
      <c r="G8" s="52">
        <v>844.4</v>
      </c>
      <c r="H8" s="52">
        <v>886.8</v>
      </c>
      <c r="I8" s="52">
        <v>773.56</v>
      </c>
      <c r="J8" s="191">
        <f>+'11'!O8/1000</f>
        <v>528.78778420000003</v>
      </c>
    </row>
    <row r="9" spans="1:10" ht="14.45" customHeight="1" x14ac:dyDescent="0.25">
      <c r="A9" s="9" t="s">
        <v>62</v>
      </c>
      <c r="B9" s="110" t="s">
        <v>63</v>
      </c>
      <c r="C9" s="52" t="s">
        <v>7</v>
      </c>
      <c r="D9" s="52" t="s">
        <v>7</v>
      </c>
      <c r="E9" s="52" t="s">
        <v>7</v>
      </c>
      <c r="F9" s="52" t="s">
        <v>7</v>
      </c>
      <c r="G9" s="52" t="s">
        <v>7</v>
      </c>
      <c r="H9" s="52" t="s">
        <v>7</v>
      </c>
      <c r="I9" s="52">
        <v>15.904999999999999</v>
      </c>
      <c r="J9" s="191">
        <f>+'11'!O9/1000</f>
        <v>202.84981180000003</v>
      </c>
    </row>
    <row r="10" spans="1:10" ht="14.45" customHeight="1" x14ac:dyDescent="0.25">
      <c r="A10" s="9" t="s">
        <v>158</v>
      </c>
      <c r="B10" s="110" t="s">
        <v>193</v>
      </c>
      <c r="C10" s="191">
        <v>1029.4000000000001</v>
      </c>
      <c r="D10" s="191">
        <v>1028.7</v>
      </c>
      <c r="E10" s="191">
        <v>1127.3</v>
      </c>
      <c r="F10" s="191">
        <v>1156.7</v>
      </c>
      <c r="G10" s="191">
        <v>1055.8</v>
      </c>
      <c r="H10" s="191">
        <v>1055.5</v>
      </c>
      <c r="I10" s="191">
        <v>1254.9590000000001</v>
      </c>
      <c r="J10" s="191">
        <f>+'11'!O10/1000</f>
        <v>1277.5640000000001</v>
      </c>
    </row>
    <row r="11" spans="1:10" ht="14.45" customHeight="1" x14ac:dyDescent="0.25">
      <c r="A11" s="9" t="s">
        <v>26</v>
      </c>
      <c r="B11" s="110" t="s">
        <v>65</v>
      </c>
      <c r="C11" s="191">
        <v>2411.8000000000002</v>
      </c>
      <c r="D11" s="191">
        <v>4074.2</v>
      </c>
      <c r="E11" s="191">
        <v>4827.3</v>
      </c>
      <c r="F11" s="191">
        <v>5344.6</v>
      </c>
      <c r="G11" s="191">
        <v>5189.8</v>
      </c>
      <c r="H11" s="191">
        <v>5474.5</v>
      </c>
      <c r="I11" s="191">
        <v>5679.241</v>
      </c>
      <c r="J11" s="191">
        <f>+'11'!O11/1000</f>
        <v>5593.7359999999999</v>
      </c>
    </row>
    <row r="12" spans="1:10" ht="14.45" customHeight="1" x14ac:dyDescent="0.25">
      <c r="A12" s="9" t="s">
        <v>401</v>
      </c>
      <c r="B12" s="110" t="s">
        <v>11</v>
      </c>
      <c r="C12" s="191">
        <v>2223.1</v>
      </c>
      <c r="D12" s="191">
        <v>2678.9</v>
      </c>
      <c r="E12" s="191">
        <v>3880.9</v>
      </c>
      <c r="F12" s="191">
        <v>3749.5</v>
      </c>
      <c r="G12" s="191">
        <v>3588.1</v>
      </c>
      <c r="H12" s="191">
        <v>4594.3</v>
      </c>
      <c r="I12" s="191">
        <v>6342.9179999999997</v>
      </c>
      <c r="J12" s="191">
        <f>+'11'!O12/1000</f>
        <v>4858.8297472000004</v>
      </c>
    </row>
    <row r="13" spans="1:10" ht="14.45" customHeight="1" x14ac:dyDescent="0.25">
      <c r="A13" s="15" t="s">
        <v>355</v>
      </c>
      <c r="B13" s="193"/>
      <c r="C13" s="194">
        <v>8087.5</v>
      </c>
      <c r="D13" s="194">
        <v>11347.6</v>
      </c>
      <c r="E13" s="194">
        <v>14061.4</v>
      </c>
      <c r="F13" s="194">
        <v>14135.4</v>
      </c>
      <c r="G13" s="194">
        <v>13339.2</v>
      </c>
      <c r="H13" s="194">
        <v>14239.9</v>
      </c>
      <c r="I13" s="194">
        <v>15837.325999999999</v>
      </c>
      <c r="J13" s="194">
        <f>SUM(J7:J12)</f>
        <v>13799.094343200002</v>
      </c>
    </row>
    <row r="14" spans="1:10" ht="14.45" customHeight="1" x14ac:dyDescent="0.25">
      <c r="A14" s="9" t="s">
        <v>75</v>
      </c>
      <c r="B14" s="110" t="s">
        <v>76</v>
      </c>
      <c r="C14" s="191">
        <v>1305.4000000000001</v>
      </c>
      <c r="D14" s="191">
        <v>2091.8000000000002</v>
      </c>
      <c r="E14" s="191">
        <v>2281.1</v>
      </c>
      <c r="F14" s="191">
        <v>2804.3</v>
      </c>
      <c r="G14" s="191">
        <v>2585</v>
      </c>
      <c r="H14" s="191">
        <v>2693.9</v>
      </c>
      <c r="I14" s="191">
        <v>2828.91</v>
      </c>
      <c r="J14" s="191">
        <f>+'11'!O14/1000</f>
        <v>1799.2779903999997</v>
      </c>
    </row>
    <row r="15" spans="1:10" ht="14.45" customHeight="1" x14ac:dyDescent="0.25">
      <c r="A15" s="15" t="s">
        <v>394</v>
      </c>
      <c r="B15" s="193"/>
      <c r="C15" s="194">
        <v>1305.4000000000001</v>
      </c>
      <c r="D15" s="194">
        <v>2091.8000000000002</v>
      </c>
      <c r="E15" s="194">
        <v>2281.1</v>
      </c>
      <c r="F15" s="194">
        <v>2804.3</v>
      </c>
      <c r="G15" s="194">
        <v>2585</v>
      </c>
      <c r="H15" s="194">
        <v>2693.9</v>
      </c>
      <c r="I15" s="194">
        <v>2828.91</v>
      </c>
      <c r="J15" s="194">
        <f>SUM(J14)</f>
        <v>1799.2779903999997</v>
      </c>
    </row>
    <row r="16" spans="1:10" ht="14.45" customHeight="1" x14ac:dyDescent="0.25">
      <c r="A16" s="9" t="s">
        <v>162</v>
      </c>
      <c r="B16" s="110" t="s">
        <v>385</v>
      </c>
      <c r="C16" s="191">
        <v>5333.3540000000003</v>
      </c>
      <c r="D16" s="191">
        <v>5298.5</v>
      </c>
      <c r="E16" s="191">
        <v>6141.6</v>
      </c>
      <c r="F16" s="191">
        <v>4599.6000000000004</v>
      </c>
      <c r="G16" s="191">
        <v>1585</v>
      </c>
      <c r="H16" s="191">
        <v>4538.3999999999996</v>
      </c>
      <c r="I16" s="191">
        <v>4004.68</v>
      </c>
      <c r="J16" s="191">
        <f>+'11'!O16/1000</f>
        <v>959.84025639999993</v>
      </c>
    </row>
    <row r="17" spans="1:12" ht="14.45" customHeight="1" x14ac:dyDescent="0.25">
      <c r="A17" s="9" t="s">
        <v>30</v>
      </c>
      <c r="B17" s="110">
        <v>57</v>
      </c>
      <c r="C17" s="52" t="s">
        <v>7</v>
      </c>
      <c r="D17" s="191">
        <v>22611</v>
      </c>
      <c r="E17" s="191">
        <v>26776.400000000001</v>
      </c>
      <c r="F17" s="191">
        <v>49525.599999999999</v>
      </c>
      <c r="G17" s="191">
        <v>55007.199999999997</v>
      </c>
      <c r="H17" s="191">
        <v>60877.5</v>
      </c>
      <c r="I17" s="191">
        <v>64709.839</v>
      </c>
      <c r="J17" s="191">
        <f>+'11'!O17/1000</f>
        <v>64318.5563692</v>
      </c>
    </row>
    <row r="18" spans="1:12" ht="14.45" customHeight="1" x14ac:dyDescent="0.25">
      <c r="A18" s="518" t="s">
        <v>29</v>
      </c>
      <c r="B18" s="110">
        <v>56</v>
      </c>
      <c r="C18" s="191">
        <v>229823.41</v>
      </c>
      <c r="D18" s="191">
        <v>190569.9</v>
      </c>
      <c r="E18" s="191">
        <v>154238.39999999999</v>
      </c>
      <c r="F18" s="191">
        <v>164978</v>
      </c>
      <c r="G18" s="191">
        <v>151765.20000000001</v>
      </c>
      <c r="H18" s="191">
        <v>130059</v>
      </c>
      <c r="I18" s="191">
        <v>137796.08900000001</v>
      </c>
      <c r="J18" s="191">
        <f>+'11'!O18/1000</f>
        <v>133134.84327729998</v>
      </c>
    </row>
    <row r="19" spans="1:12" ht="14.45" customHeight="1" x14ac:dyDescent="0.25">
      <c r="A19" s="518"/>
      <c r="B19" s="110">
        <v>88</v>
      </c>
      <c r="C19" s="11">
        <v>186009</v>
      </c>
      <c r="D19" s="191">
        <v>224488.3</v>
      </c>
      <c r="E19" s="191">
        <v>237744.7</v>
      </c>
      <c r="F19" s="191">
        <v>258388</v>
      </c>
      <c r="G19" s="191">
        <v>232768.6</v>
      </c>
      <c r="H19" s="191">
        <v>236835.4</v>
      </c>
      <c r="I19" s="191">
        <v>249058.03099999999</v>
      </c>
      <c r="J19" s="191">
        <f>+'11'!O19/1000</f>
        <v>210815.73423789997</v>
      </c>
    </row>
    <row r="20" spans="1:12" ht="14.45" customHeight="1" x14ac:dyDescent="0.25">
      <c r="A20" s="15" t="s">
        <v>361</v>
      </c>
      <c r="B20" s="193"/>
      <c r="C20" s="194">
        <v>421166.3</v>
      </c>
      <c r="D20" s="194">
        <v>442967.6</v>
      </c>
      <c r="E20" s="194">
        <v>424901.2</v>
      </c>
      <c r="F20" s="194">
        <v>477491.20000000001</v>
      </c>
      <c r="G20" s="194">
        <v>441126</v>
      </c>
      <c r="H20" s="194">
        <v>432310.3</v>
      </c>
      <c r="I20" s="194">
        <v>455568.63899999997</v>
      </c>
      <c r="J20" s="194">
        <f>SUM(J16:J19)</f>
        <v>409228.97414079995</v>
      </c>
    </row>
    <row r="21" spans="1:12" ht="14.45" customHeight="1" x14ac:dyDescent="0.25">
      <c r="A21" s="195" t="s">
        <v>166</v>
      </c>
      <c r="B21" s="196"/>
      <c r="C21" s="197">
        <v>430559.14</v>
      </c>
      <c r="D21" s="197">
        <v>456407</v>
      </c>
      <c r="E21" s="197">
        <v>441243.8</v>
      </c>
      <c r="F21" s="197">
        <v>494430.9</v>
      </c>
      <c r="G21" s="197">
        <v>457050.1</v>
      </c>
      <c r="H21" s="197">
        <v>449244.1</v>
      </c>
      <c r="I21" s="197">
        <v>474234.87499999994</v>
      </c>
      <c r="J21" s="197">
        <f>SUM(J13+J15+J20)</f>
        <v>424827.34647439996</v>
      </c>
    </row>
    <row r="22" spans="1:12" x14ac:dyDescent="0.25">
      <c r="A22" s="21" t="s">
        <v>402</v>
      </c>
      <c r="B22" s="59"/>
      <c r="C22" s="177">
        <v>1179.5999999999999</v>
      </c>
      <c r="D22" s="177">
        <v>1250.4000000000001</v>
      </c>
      <c r="E22" s="177">
        <v>1208.9000000000001</v>
      </c>
      <c r="F22" s="177">
        <v>1354.6</v>
      </c>
      <c r="G22" s="177">
        <v>1252.2</v>
      </c>
      <c r="H22" s="177">
        <v>1230.8</v>
      </c>
      <c r="I22" s="177">
        <v>1299.2736301369862</v>
      </c>
      <c r="J22" s="177">
        <f>J21/366</f>
        <v>1160.7304548480874</v>
      </c>
    </row>
    <row r="24" spans="1:12" x14ac:dyDescent="0.25">
      <c r="A24" s="1" t="s">
        <v>513</v>
      </c>
    </row>
    <row r="25" spans="1:12" x14ac:dyDescent="0.25">
      <c r="A25" s="1"/>
    </row>
    <row r="26" spans="1:12" ht="12" x14ac:dyDescent="0.2">
      <c r="B26" s="463" t="s">
        <v>541</v>
      </c>
      <c r="C26" s="463"/>
      <c r="D26" s="463"/>
      <c r="E26" s="463"/>
      <c r="F26" s="463"/>
      <c r="G26" s="463"/>
      <c r="H26" s="463"/>
      <c r="I26" s="463"/>
      <c r="J26" s="463"/>
    </row>
    <row r="32" spans="1:12" ht="12.75" x14ac:dyDescent="0.25">
      <c r="L32" s="270">
        <f>+J22/I22-1</f>
        <v>-0.10663125309046084</v>
      </c>
    </row>
    <row r="34" spans="12:14" x14ac:dyDescent="0.25">
      <c r="L34" s="519" t="s">
        <v>533</v>
      </c>
      <c r="M34" s="519"/>
      <c r="N34" s="519"/>
    </row>
    <row r="35" spans="12:14" x14ac:dyDescent="0.25">
      <c r="L35" s="519"/>
      <c r="M35" s="519"/>
      <c r="N35" s="519"/>
    </row>
    <row r="36" spans="12:14" x14ac:dyDescent="0.25">
      <c r="L36" s="519"/>
      <c r="M36" s="519"/>
      <c r="N36" s="519"/>
    </row>
    <row r="37" spans="12:14" x14ac:dyDescent="0.25">
      <c r="L37" s="519"/>
      <c r="M37" s="519"/>
      <c r="N37" s="519"/>
    </row>
    <row r="38" spans="12:14" x14ac:dyDescent="0.25">
      <c r="L38" s="519"/>
      <c r="M38" s="519"/>
      <c r="N38" s="519"/>
    </row>
    <row r="49" spans="1:6" x14ac:dyDescent="0.25">
      <c r="C49" s="1" t="s">
        <v>513</v>
      </c>
    </row>
    <row r="51" spans="1:6" ht="12.75" x14ac:dyDescent="0.2">
      <c r="A51" s="187"/>
      <c r="B51" s="187"/>
      <c r="C51" s="187"/>
      <c r="D51" s="187"/>
      <c r="E51" s="187"/>
      <c r="F51" s="187"/>
    </row>
    <row r="53" spans="1:6" ht="12.75" x14ac:dyDescent="0.25">
      <c r="B53" s="199" t="s">
        <v>542</v>
      </c>
    </row>
    <row r="74" spans="1:8" x14ac:dyDescent="0.25">
      <c r="B74" s="1"/>
    </row>
    <row r="76" spans="1:8" x14ac:dyDescent="0.25">
      <c r="B76" s="1" t="s">
        <v>513</v>
      </c>
    </row>
    <row r="77" spans="1:8" x14ac:dyDescent="0.25">
      <c r="B77" s="1"/>
    </row>
    <row r="78" spans="1:8" ht="12.75" x14ac:dyDescent="0.2">
      <c r="A78" s="187"/>
      <c r="B78" s="200"/>
      <c r="C78" s="200">
        <v>2020</v>
      </c>
      <c r="D78" s="201">
        <v>2021</v>
      </c>
      <c r="E78" s="201">
        <v>2022</v>
      </c>
      <c r="F78" s="201">
        <v>2023</v>
      </c>
      <c r="G78" s="201">
        <v>2024</v>
      </c>
      <c r="H78" s="201">
        <v>2025</v>
      </c>
    </row>
    <row r="79" spans="1:8" ht="12.75" x14ac:dyDescent="0.2">
      <c r="A79" s="202" t="s">
        <v>403</v>
      </c>
      <c r="B79" s="203"/>
      <c r="C79" s="203">
        <v>1382.1969999999999</v>
      </c>
      <c r="D79" s="204">
        <v>1289.646</v>
      </c>
      <c r="E79" s="204">
        <v>1347.828</v>
      </c>
      <c r="F79" s="204">
        <v>1324.5740000000001</v>
      </c>
      <c r="G79" s="204">
        <v>1308.2059999999999</v>
      </c>
      <c r="H79" s="204">
        <v>1291.5830000000001</v>
      </c>
    </row>
  </sheetData>
  <mergeCells count="6">
    <mergeCell ref="A4:J4"/>
    <mergeCell ref="A5:J5"/>
    <mergeCell ref="A18:A19"/>
    <mergeCell ref="L34:N38"/>
    <mergeCell ref="A2:J2"/>
    <mergeCell ref="B26:J26"/>
  </mergeCells>
  <pageMargins left="0.7" right="0.7" top="0.75" bottom="0.75" header="0.3" footer="0.3"/>
  <pageSetup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O53"/>
  <sheetViews>
    <sheetView showGridLines="0" topLeftCell="A7" zoomScale="85" zoomScaleNormal="85" workbookViewId="0">
      <selection activeCell="A53" sqref="A53"/>
    </sheetView>
  </sheetViews>
  <sheetFormatPr baseColWidth="10" defaultColWidth="9.5703125" defaultRowHeight="14.45" customHeight="1" x14ac:dyDescent="0.25"/>
  <cols>
    <col min="1" max="1" width="32.7109375" style="1" customWidth="1"/>
    <col min="2" max="2" width="9.5703125" style="2"/>
    <col min="3" max="3" width="11" style="3" bestFit="1" customWidth="1"/>
    <col min="4" max="7" width="10.7109375" style="3" bestFit="1" customWidth="1"/>
    <col min="8" max="9" width="10.28515625" style="3" bestFit="1" customWidth="1"/>
    <col min="10" max="12" width="10" style="3" bestFit="1" customWidth="1"/>
    <col min="13" max="14" width="10.7109375" style="3" bestFit="1" customWidth="1"/>
    <col min="15" max="15" width="11.7109375" style="3" bestFit="1" customWidth="1"/>
    <col min="16" max="16384" width="9.5703125" style="3"/>
  </cols>
  <sheetData>
    <row r="2" spans="1:15" ht="14.45" customHeight="1" x14ac:dyDescent="0.2">
      <c r="A2" s="488" t="s">
        <v>534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</row>
    <row r="4" spans="1:15" s="2" customFormat="1" ht="14.45" customHeight="1" x14ac:dyDescent="0.25">
      <c r="A4" s="465" t="s">
        <v>404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</row>
    <row r="5" spans="1:15" s="2" customFormat="1" ht="14.45" customHeight="1" x14ac:dyDescent="0.25">
      <c r="A5" s="465">
        <v>2020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</row>
    <row r="6" spans="1:15" s="2" customFormat="1" ht="14.45" customHeight="1" x14ac:dyDescent="0.25">
      <c r="A6" s="59"/>
      <c r="B6" s="59" t="s">
        <v>4</v>
      </c>
      <c r="C6" s="59" t="s">
        <v>405</v>
      </c>
      <c r="D6" s="59" t="s">
        <v>406</v>
      </c>
      <c r="E6" s="59" t="s">
        <v>407</v>
      </c>
      <c r="F6" s="59" t="s">
        <v>408</v>
      </c>
      <c r="G6" s="59" t="s">
        <v>409</v>
      </c>
      <c r="H6" s="59" t="s">
        <v>410</v>
      </c>
      <c r="I6" s="59" t="s">
        <v>411</v>
      </c>
      <c r="J6" s="59" t="s">
        <v>412</v>
      </c>
      <c r="K6" s="59" t="s">
        <v>413</v>
      </c>
      <c r="L6" s="59" t="s">
        <v>414</v>
      </c>
      <c r="M6" s="59" t="s">
        <v>415</v>
      </c>
      <c r="N6" s="59" t="s">
        <v>416</v>
      </c>
      <c r="O6" s="59" t="s">
        <v>393</v>
      </c>
    </row>
    <row r="7" spans="1:15" ht="14.45" customHeight="1" x14ac:dyDescent="0.25">
      <c r="A7" s="205" t="s">
        <v>417</v>
      </c>
      <c r="B7" s="206" t="s">
        <v>163</v>
      </c>
      <c r="C7" s="207">
        <v>0.50051173999999998</v>
      </c>
      <c r="D7" s="207">
        <v>1.2778104100000001</v>
      </c>
      <c r="E7" s="207">
        <v>0.67663393999999999</v>
      </c>
      <c r="F7" s="207">
        <v>5.0930610000000001E-2</v>
      </c>
      <c r="G7" s="207">
        <v>0.12408563</v>
      </c>
      <c r="H7" s="207">
        <v>8.8156579999999998E-2</v>
      </c>
      <c r="I7" s="207">
        <v>0.12674787000000001</v>
      </c>
      <c r="J7" s="207">
        <v>0.14685971</v>
      </c>
      <c r="K7" s="207">
        <v>0.15620367999999998</v>
      </c>
      <c r="L7" s="207">
        <v>0.25099553000000002</v>
      </c>
      <c r="M7" s="207">
        <v>1.9543499999999998E-2</v>
      </c>
      <c r="N7" s="207">
        <v>0.32484657</v>
      </c>
      <c r="O7" s="207">
        <f>+SUM(C7:N7)</f>
        <v>3.7433257700000007</v>
      </c>
    </row>
    <row r="8" spans="1:15" ht="14.45" customHeight="1" x14ac:dyDescent="0.25">
      <c r="A8" s="208" t="s">
        <v>418</v>
      </c>
      <c r="B8" s="209" t="s">
        <v>52</v>
      </c>
      <c r="C8" s="210">
        <v>1.652021E-2</v>
      </c>
      <c r="D8" s="210">
        <v>7.2040000000000003E-3</v>
      </c>
      <c r="E8" s="210">
        <v>0</v>
      </c>
      <c r="F8" s="210">
        <v>0</v>
      </c>
      <c r="G8" s="210">
        <v>0</v>
      </c>
      <c r="H8" s="210">
        <v>0</v>
      </c>
      <c r="I8" s="210">
        <v>0</v>
      </c>
      <c r="J8" s="210">
        <v>0</v>
      </c>
      <c r="K8" s="210">
        <v>0</v>
      </c>
      <c r="L8" s="210">
        <v>0</v>
      </c>
      <c r="M8" s="210">
        <v>0</v>
      </c>
      <c r="N8" s="210">
        <v>0</v>
      </c>
      <c r="O8" s="210">
        <f t="shared" ref="O8:O20" si="0">+SUM(C8:N8)</f>
        <v>2.3724210000000003E-2</v>
      </c>
    </row>
    <row r="9" spans="1:15" ht="14.45" customHeight="1" x14ac:dyDescent="0.25">
      <c r="A9" s="211" t="s">
        <v>419</v>
      </c>
      <c r="B9" s="212">
        <v>131</v>
      </c>
      <c r="C9" s="213">
        <v>8.3129999999999999E-4</v>
      </c>
      <c r="D9" s="213">
        <v>0</v>
      </c>
      <c r="E9" s="213">
        <v>0</v>
      </c>
      <c r="F9" s="213">
        <v>0</v>
      </c>
      <c r="G9" s="213">
        <v>0</v>
      </c>
      <c r="H9" s="213">
        <v>0</v>
      </c>
      <c r="I9" s="213">
        <v>0</v>
      </c>
      <c r="J9" s="213">
        <v>0</v>
      </c>
      <c r="K9" s="213">
        <v>0</v>
      </c>
      <c r="L9" s="213">
        <v>0</v>
      </c>
      <c r="M9" s="213">
        <v>0</v>
      </c>
      <c r="N9" s="213">
        <v>0</v>
      </c>
      <c r="O9" s="213">
        <f t="shared" si="0"/>
        <v>8.3129999999999999E-4</v>
      </c>
    </row>
    <row r="10" spans="1:15" ht="14.45" customHeight="1" x14ac:dyDescent="0.25">
      <c r="A10" s="521" t="s">
        <v>420</v>
      </c>
      <c r="B10" s="214">
        <v>58</v>
      </c>
      <c r="C10" s="215">
        <v>0.36016509000000002</v>
      </c>
      <c r="D10" s="215">
        <v>0.81407054000000001</v>
      </c>
      <c r="E10" s="215">
        <v>0.49265894999999998</v>
      </c>
      <c r="F10" s="215">
        <v>0.49487615999999995</v>
      </c>
      <c r="G10" s="215">
        <v>3.8975410000000002E-2</v>
      </c>
      <c r="H10" s="215">
        <v>0.43120299000000001</v>
      </c>
      <c r="I10" s="215">
        <v>0.36424439000000003</v>
      </c>
      <c r="J10" s="215">
        <v>0.36424439000000003</v>
      </c>
      <c r="K10" s="215">
        <v>0.4493065</v>
      </c>
      <c r="L10" s="215">
        <v>0.55324061000000002</v>
      </c>
      <c r="M10" s="215">
        <v>0.35658835</v>
      </c>
      <c r="N10" s="215">
        <v>1.0212683599999999</v>
      </c>
      <c r="O10" s="215">
        <f t="shared" si="0"/>
        <v>5.7408417400000005</v>
      </c>
    </row>
    <row r="11" spans="1:15" ht="14.45" customHeight="1" x14ac:dyDescent="0.25">
      <c r="A11" s="521"/>
      <c r="B11" s="214" t="s">
        <v>65</v>
      </c>
      <c r="C11" s="215">
        <v>3.3619502000000003</v>
      </c>
      <c r="D11" s="215">
        <v>4.6092021299999999</v>
      </c>
      <c r="E11" s="215">
        <v>4.7329172399999999</v>
      </c>
      <c r="F11" s="215">
        <v>4.3214459400000003</v>
      </c>
      <c r="G11" s="215">
        <v>2.2223489999999999</v>
      </c>
      <c r="H11" s="215">
        <v>0.49931112999999999</v>
      </c>
      <c r="I11" s="215">
        <v>0.31230696000000002</v>
      </c>
      <c r="J11" s="215">
        <v>0.36124024000000005</v>
      </c>
      <c r="K11" s="215">
        <v>0.81638993000000004</v>
      </c>
      <c r="L11" s="215">
        <v>1.2391041699999998</v>
      </c>
      <c r="M11" s="215">
        <v>1.85798676</v>
      </c>
      <c r="N11" s="215">
        <v>2.0699116699999998</v>
      </c>
      <c r="O11" s="215">
        <f t="shared" si="0"/>
        <v>26.404115370000003</v>
      </c>
    </row>
    <row r="12" spans="1:15" s="121" customFormat="1" ht="14.45" customHeight="1" x14ac:dyDescent="0.25">
      <c r="A12" s="211" t="s">
        <v>421</v>
      </c>
      <c r="B12" s="212">
        <v>192</v>
      </c>
      <c r="C12" s="213">
        <v>0</v>
      </c>
      <c r="D12" s="213">
        <v>0</v>
      </c>
      <c r="E12" s="213">
        <v>0</v>
      </c>
      <c r="F12" s="213">
        <v>0</v>
      </c>
      <c r="G12" s="213">
        <v>0</v>
      </c>
      <c r="H12" s="213">
        <v>0</v>
      </c>
      <c r="I12" s="213">
        <v>0</v>
      </c>
      <c r="J12" s="213">
        <v>0</v>
      </c>
      <c r="K12" s="213">
        <v>0</v>
      </c>
      <c r="L12" s="213">
        <v>0</v>
      </c>
      <c r="M12" s="213">
        <v>0</v>
      </c>
      <c r="N12" s="213">
        <v>0</v>
      </c>
      <c r="O12" s="213">
        <f t="shared" si="0"/>
        <v>0</v>
      </c>
    </row>
    <row r="13" spans="1:15" ht="14.45" customHeight="1" x14ac:dyDescent="0.25">
      <c r="A13" s="208" t="s">
        <v>422</v>
      </c>
      <c r="B13" s="214">
        <v>100</v>
      </c>
      <c r="C13" s="215" t="s">
        <v>423</v>
      </c>
      <c r="D13" s="215" t="s">
        <v>423</v>
      </c>
      <c r="E13" s="215" t="s">
        <v>423</v>
      </c>
      <c r="F13" s="215" t="s">
        <v>423</v>
      </c>
      <c r="G13" s="215" t="s">
        <v>423</v>
      </c>
      <c r="H13" s="215" t="s">
        <v>423</v>
      </c>
      <c r="I13" s="215" t="s">
        <v>423</v>
      </c>
      <c r="J13" s="215" t="s">
        <v>423</v>
      </c>
      <c r="K13" s="215" t="s">
        <v>423</v>
      </c>
      <c r="L13" s="215" t="s">
        <v>423</v>
      </c>
      <c r="M13" s="215" t="s">
        <v>423</v>
      </c>
      <c r="N13" s="215" t="s">
        <v>423</v>
      </c>
      <c r="O13" s="215">
        <f t="shared" si="0"/>
        <v>0</v>
      </c>
    </row>
    <row r="14" spans="1:15" s="121" customFormat="1" ht="18" customHeight="1" x14ac:dyDescent="0.25">
      <c r="A14" s="211" t="s">
        <v>424</v>
      </c>
      <c r="B14" s="212" t="s">
        <v>73</v>
      </c>
      <c r="C14" s="213">
        <v>3.4785700000000003E-3</v>
      </c>
      <c r="D14" s="213">
        <v>2.6239099999999997E-3</v>
      </c>
      <c r="E14" s="213">
        <v>2.62927E-3</v>
      </c>
      <c r="F14" s="213">
        <v>5.2220000000000001E-3</v>
      </c>
      <c r="G14" s="213">
        <v>5.3784999999999998E-4</v>
      </c>
      <c r="H14" s="213">
        <v>1.0426000000000001E-4</v>
      </c>
      <c r="I14" s="213">
        <v>8.8058000000000006E-4</v>
      </c>
      <c r="J14" s="213">
        <v>1.9768800000000003E-3</v>
      </c>
      <c r="K14" s="213">
        <v>3.9104700000000001E-3</v>
      </c>
      <c r="L14" s="213">
        <v>2.8754599999999998E-3</v>
      </c>
      <c r="M14" s="213">
        <v>6.6088500000000003E-3</v>
      </c>
      <c r="N14" s="213">
        <v>1.5550399999999999E-3</v>
      </c>
      <c r="O14" s="213">
        <f t="shared" si="0"/>
        <v>3.2403139999999997E-2</v>
      </c>
    </row>
    <row r="15" spans="1:15" ht="14.45" customHeight="1" x14ac:dyDescent="0.25">
      <c r="A15" s="521" t="s">
        <v>425</v>
      </c>
      <c r="B15" s="214" t="s">
        <v>154</v>
      </c>
      <c r="C15" s="215">
        <v>1.338873E-2</v>
      </c>
      <c r="D15" s="215">
        <v>4.4684069999999999E-2</v>
      </c>
      <c r="E15" s="215">
        <v>7.5574149999999993E-2</v>
      </c>
      <c r="F15" s="215">
        <v>4.596737E-2</v>
      </c>
      <c r="G15" s="215">
        <v>2.8364800000000002E-3</v>
      </c>
      <c r="H15" s="215">
        <v>-1.9321E-3</v>
      </c>
      <c r="I15" s="215">
        <v>3.37404E-3</v>
      </c>
      <c r="J15" s="215">
        <v>9.7968000000000013E-3</v>
      </c>
      <c r="K15" s="215">
        <v>1.1748800000000001E-3</v>
      </c>
      <c r="L15" s="215">
        <v>-1.595734E-2</v>
      </c>
      <c r="M15" s="215">
        <v>-7.7655999999999992E-4</v>
      </c>
      <c r="N15" s="215">
        <v>-0.82776209999999995</v>
      </c>
      <c r="O15" s="215">
        <f t="shared" si="0"/>
        <v>-0.64963157999999999</v>
      </c>
    </row>
    <row r="16" spans="1:15" s="121" customFormat="1" ht="14.45" customHeight="1" x14ac:dyDescent="0.25">
      <c r="A16" s="521"/>
      <c r="B16" s="214" t="s">
        <v>64</v>
      </c>
      <c r="C16" s="215">
        <v>0.24290914000000002</v>
      </c>
      <c r="D16" s="215">
        <v>0.16639983999999999</v>
      </c>
      <c r="E16" s="215">
        <v>3.3348589999999997E-2</v>
      </c>
      <c r="F16" s="215">
        <v>2.936387E-2</v>
      </c>
      <c r="G16" s="215">
        <v>1.997438E-2</v>
      </c>
      <c r="H16" s="215">
        <v>4.0993900000000005E-3</v>
      </c>
      <c r="I16" s="215">
        <v>1.534341E-2</v>
      </c>
      <c r="J16" s="215">
        <v>3.0890230000000001E-2</v>
      </c>
      <c r="K16" s="215">
        <v>5.6631389999999997E-2</v>
      </c>
      <c r="L16" s="215">
        <v>8.6736690000000005E-2</v>
      </c>
      <c r="M16" s="215">
        <v>5.5042019999999997E-2</v>
      </c>
      <c r="N16" s="215">
        <v>4.4977030000000001E-2</v>
      </c>
      <c r="O16" s="215">
        <f t="shared" si="0"/>
        <v>0.78571597999999998</v>
      </c>
    </row>
    <row r="17" spans="1:15" ht="14.45" customHeight="1" x14ac:dyDescent="0.25">
      <c r="A17" s="521"/>
      <c r="B17" s="214" t="s">
        <v>63</v>
      </c>
      <c r="C17" s="215">
        <v>0.7853291</v>
      </c>
      <c r="D17" s="215">
        <v>3.1958069999999998</v>
      </c>
      <c r="E17" s="215">
        <v>5.8596659800000008</v>
      </c>
      <c r="F17" s="215">
        <v>1.3467144799999999</v>
      </c>
      <c r="G17" s="215">
        <v>0.53307589</v>
      </c>
      <c r="H17" s="215">
        <v>6.4604239999999993E-2</v>
      </c>
      <c r="I17" s="215">
        <v>3.9243989999999999E-2</v>
      </c>
      <c r="J17" s="215">
        <v>3.1651690000000003E-2</v>
      </c>
      <c r="K17" s="215">
        <v>3.828753E-2</v>
      </c>
      <c r="L17" s="215">
        <v>8.1779539999999998E-2</v>
      </c>
      <c r="M17" s="215">
        <v>4.7942690000000003E-2</v>
      </c>
      <c r="N17" s="215">
        <v>0.72764332999999992</v>
      </c>
      <c r="O17" s="215">
        <f t="shared" si="0"/>
        <v>12.751745459999995</v>
      </c>
    </row>
    <row r="18" spans="1:15" s="121" customFormat="1" ht="14.45" customHeight="1" x14ac:dyDescent="0.25">
      <c r="A18" s="211" t="s">
        <v>426</v>
      </c>
      <c r="B18" s="212">
        <v>64</v>
      </c>
      <c r="C18" s="213">
        <v>0.20918307</v>
      </c>
      <c r="D18" s="213">
        <v>0.31023314000000002</v>
      </c>
      <c r="E18" s="213">
        <v>0.13652802</v>
      </c>
      <c r="F18" s="213">
        <v>8.4047979999999994E-2</v>
      </c>
      <c r="G18" s="213">
        <v>0.13108312</v>
      </c>
      <c r="H18" s="213">
        <v>0.15711686999999999</v>
      </c>
      <c r="I18" s="213">
        <v>1.1522379999999999E-2</v>
      </c>
      <c r="J18" s="213">
        <v>2.1730820000000001E-2</v>
      </c>
      <c r="K18" s="213">
        <v>2.8599409999999999E-2</v>
      </c>
      <c r="L18" s="213">
        <v>2.6006310000000001E-2</v>
      </c>
      <c r="M18" s="213">
        <v>4.4367239999999995E-2</v>
      </c>
      <c r="N18" s="213">
        <v>7.8279000000000005E-3</v>
      </c>
      <c r="O18" s="213">
        <f t="shared" si="0"/>
        <v>1.1682462600000001</v>
      </c>
    </row>
    <row r="19" spans="1:15" ht="14.45" customHeight="1" x14ac:dyDescent="0.25">
      <c r="A19" s="208" t="s">
        <v>427</v>
      </c>
      <c r="B19" s="214" t="s">
        <v>6</v>
      </c>
      <c r="C19" s="215">
        <v>3.2069460000000001E-2</v>
      </c>
      <c r="D19" s="215">
        <v>3.7527559999999995E-2</v>
      </c>
      <c r="E19" s="215">
        <v>1.0179450000000001E-2</v>
      </c>
      <c r="F19" s="215">
        <v>-4.1342700000000007E-3</v>
      </c>
      <c r="G19" s="215">
        <v>2.3781419999999998E-2</v>
      </c>
      <c r="H19" s="215">
        <v>3.7189980000000004E-2</v>
      </c>
      <c r="I19" s="215">
        <v>8.5065000000000002E-3</v>
      </c>
      <c r="J19" s="215">
        <v>1.4988990000000001E-2</v>
      </c>
      <c r="K19" s="215">
        <v>2.3183619999999999E-2</v>
      </c>
      <c r="L19" s="215">
        <v>1.4539219999999999E-2</v>
      </c>
      <c r="M19" s="215">
        <v>1.0331750000000001E-2</v>
      </c>
      <c r="N19" s="215">
        <v>1.4604770000000001E-2</v>
      </c>
      <c r="O19" s="215">
        <f t="shared" si="0"/>
        <v>0.22276844999999998</v>
      </c>
    </row>
    <row r="20" spans="1:15" s="121" customFormat="1" ht="14.45" customHeight="1" x14ac:dyDescent="0.25">
      <c r="A20" s="211" t="s">
        <v>428</v>
      </c>
      <c r="B20" s="212">
        <v>95</v>
      </c>
      <c r="C20" s="213">
        <v>3.0379306499999998</v>
      </c>
      <c r="D20" s="213">
        <v>10.3832033</v>
      </c>
      <c r="E20" s="213">
        <v>10.059927289999999</v>
      </c>
      <c r="F20" s="213">
        <v>6.5591980599999999</v>
      </c>
      <c r="G20" s="213">
        <v>1.7331558500000002</v>
      </c>
      <c r="H20" s="213">
        <v>0.30639028000000001</v>
      </c>
      <c r="I20" s="213">
        <v>0.86667684999999994</v>
      </c>
      <c r="J20" s="213">
        <v>1.1181198300000001</v>
      </c>
      <c r="K20" s="213">
        <v>1.1142631399999998</v>
      </c>
      <c r="L20" s="213">
        <v>1.7286017</v>
      </c>
      <c r="M20" s="213">
        <v>1.4004237099999999</v>
      </c>
      <c r="N20" s="213">
        <v>3.0041126600000001</v>
      </c>
      <c r="O20" s="213">
        <f t="shared" si="0"/>
        <v>41.312003319999988</v>
      </c>
    </row>
    <row r="21" spans="1:15" ht="22.5" x14ac:dyDescent="0.25">
      <c r="A21" s="208" t="s">
        <v>429</v>
      </c>
      <c r="B21" s="214">
        <v>67</v>
      </c>
      <c r="C21" s="215" t="s">
        <v>423</v>
      </c>
      <c r="D21" s="215" t="s">
        <v>423</v>
      </c>
      <c r="E21" s="215" t="s">
        <v>423</v>
      </c>
      <c r="F21" s="215" t="s">
        <v>423</v>
      </c>
      <c r="G21" s="215" t="s">
        <v>423</v>
      </c>
      <c r="H21" s="215" t="s">
        <v>423</v>
      </c>
      <c r="I21" s="215" t="s">
        <v>423</v>
      </c>
      <c r="J21" s="215" t="s">
        <v>423</v>
      </c>
      <c r="K21" s="215" t="s">
        <v>423</v>
      </c>
      <c r="L21" s="215" t="s">
        <v>423</v>
      </c>
      <c r="M21" s="215" t="s">
        <v>423</v>
      </c>
      <c r="N21" s="215" t="s">
        <v>423</v>
      </c>
      <c r="O21" s="215">
        <f>+SUM(C21:N21)</f>
        <v>0</v>
      </c>
    </row>
    <row r="22" spans="1:15" s="121" customFormat="1" ht="14.45" customHeight="1" x14ac:dyDescent="0.25">
      <c r="A22" s="211" t="s">
        <v>430</v>
      </c>
      <c r="B22" s="212" t="s">
        <v>157</v>
      </c>
      <c r="C22" s="213">
        <v>1.5408099999999999E-3</v>
      </c>
      <c r="D22" s="213">
        <v>1.8087240000000001E-2</v>
      </c>
      <c r="E22" s="213">
        <v>2.82394E-3</v>
      </c>
      <c r="F22" s="213">
        <v>3.6623300000000001E-3</v>
      </c>
      <c r="G22" s="213">
        <v>0</v>
      </c>
      <c r="H22" s="213">
        <v>2.6685900000000002E-3</v>
      </c>
      <c r="I22" s="213">
        <v>4.6041700000000003E-3</v>
      </c>
      <c r="J22" s="213">
        <v>0</v>
      </c>
      <c r="K22" s="213">
        <v>-3.29336E-3</v>
      </c>
      <c r="L22" s="213">
        <v>0</v>
      </c>
      <c r="M22" s="213">
        <v>6.2855699999999999E-3</v>
      </c>
      <c r="N22" s="213">
        <v>-0.11454083999999999</v>
      </c>
      <c r="O22" s="213">
        <f t="shared" ref="O22:O50" si="1">+SUM(C22:N22)</f>
        <v>-7.8161549999999996E-2</v>
      </c>
    </row>
    <row r="23" spans="1:15" ht="22.5" x14ac:dyDescent="0.25">
      <c r="A23" s="208" t="s">
        <v>431</v>
      </c>
      <c r="B23" s="214" t="s">
        <v>38</v>
      </c>
      <c r="C23" s="215">
        <v>24.700907999999998</v>
      </c>
      <c r="D23" s="215">
        <v>15.779954</v>
      </c>
      <c r="E23" s="215">
        <v>12.847632000000001</v>
      </c>
      <c r="F23" s="215">
        <v>1.2565010000000001</v>
      </c>
      <c r="G23" s="215">
        <v>1.193862</v>
      </c>
      <c r="H23" s="215">
        <v>0.37795600000000001</v>
      </c>
      <c r="I23" s="215">
        <v>0.32931700000000003</v>
      </c>
      <c r="J23" s="215">
        <v>0.298628</v>
      </c>
      <c r="K23" s="215">
        <v>0.111278</v>
      </c>
      <c r="L23" s="215">
        <v>9.6382999999999996E-2</v>
      </c>
      <c r="M23" s="215">
        <v>0.18284400000000001</v>
      </c>
      <c r="N23" s="215">
        <v>-6.8862400000000018E-2</v>
      </c>
      <c r="O23" s="215">
        <f t="shared" si="1"/>
        <v>57.106400600000015</v>
      </c>
    </row>
    <row r="24" spans="1:15" s="121" customFormat="1" ht="14.45" customHeight="1" x14ac:dyDescent="0.25">
      <c r="A24" s="216" t="s">
        <v>432</v>
      </c>
      <c r="B24" s="212" t="s">
        <v>433</v>
      </c>
      <c r="C24" s="213" t="s">
        <v>423</v>
      </c>
      <c r="D24" s="213" t="s">
        <v>423</v>
      </c>
      <c r="E24" s="213" t="s">
        <v>423</v>
      </c>
      <c r="F24" s="213" t="s">
        <v>423</v>
      </c>
      <c r="G24" s="213" t="s">
        <v>423</v>
      </c>
      <c r="H24" s="213" t="s">
        <v>423</v>
      </c>
      <c r="I24" s="213" t="s">
        <v>423</v>
      </c>
      <c r="J24" s="213" t="s">
        <v>423</v>
      </c>
      <c r="K24" s="213" t="s">
        <v>423</v>
      </c>
      <c r="L24" s="213" t="s">
        <v>423</v>
      </c>
      <c r="M24" s="213" t="s">
        <v>423</v>
      </c>
      <c r="N24" s="213" t="s">
        <v>423</v>
      </c>
      <c r="O24" s="213">
        <f t="shared" si="1"/>
        <v>0</v>
      </c>
    </row>
    <row r="25" spans="1:15" ht="22.5" x14ac:dyDescent="0.25">
      <c r="A25" s="208" t="s">
        <v>434</v>
      </c>
      <c r="B25" s="214" t="s">
        <v>11</v>
      </c>
      <c r="C25" s="215">
        <v>2.07958599</v>
      </c>
      <c r="D25" s="215">
        <v>0.97821654000000002</v>
      </c>
      <c r="E25" s="215">
        <v>0.86321446999999996</v>
      </c>
      <c r="F25" s="215">
        <v>0.29705988</v>
      </c>
      <c r="G25" s="215">
        <v>0.29587094000000003</v>
      </c>
      <c r="H25" s="215">
        <v>0.48298735999999998</v>
      </c>
      <c r="I25" s="215">
        <v>6.9751309999999997E-2</v>
      </c>
      <c r="J25" s="215">
        <v>-0.26332499999999998</v>
      </c>
      <c r="K25" s="215">
        <v>7.0567110000000002E-2</v>
      </c>
      <c r="L25" s="215">
        <v>7.9800780000000002E-2</v>
      </c>
      <c r="M25" s="215">
        <v>0.13376410999999999</v>
      </c>
      <c r="N25" s="215">
        <v>0.18696107000000001</v>
      </c>
      <c r="O25" s="215">
        <f t="shared" si="1"/>
        <v>5.2744545599999997</v>
      </c>
    </row>
    <row r="26" spans="1:15" s="121" customFormat="1" ht="14.45" customHeight="1" x14ac:dyDescent="0.25">
      <c r="A26" s="211" t="s">
        <v>421</v>
      </c>
      <c r="B26" s="212">
        <v>116</v>
      </c>
      <c r="C26" s="213">
        <v>0</v>
      </c>
      <c r="D26" s="213">
        <v>5.0523999999999999E-2</v>
      </c>
      <c r="E26" s="213">
        <v>2.1000670000000006E-2</v>
      </c>
      <c r="F26" s="213">
        <v>1.5149E-4</v>
      </c>
      <c r="G26" s="213">
        <v>0</v>
      </c>
      <c r="H26" s="213">
        <v>0</v>
      </c>
      <c r="I26" s="213">
        <v>0</v>
      </c>
      <c r="J26" s="213">
        <v>0</v>
      </c>
      <c r="K26" s="213">
        <v>0</v>
      </c>
      <c r="L26" s="213">
        <v>0</v>
      </c>
      <c r="M26" s="213">
        <v>0</v>
      </c>
      <c r="N26" s="213">
        <v>0</v>
      </c>
      <c r="O26" s="213">
        <f t="shared" si="1"/>
        <v>7.1676160000000017E-2</v>
      </c>
    </row>
    <row r="27" spans="1:15" ht="14.45" customHeight="1" x14ac:dyDescent="0.25">
      <c r="A27" s="521" t="s">
        <v>435</v>
      </c>
      <c r="B27" s="214" t="s">
        <v>160</v>
      </c>
      <c r="C27" s="215">
        <v>0</v>
      </c>
      <c r="D27" s="215">
        <v>0</v>
      </c>
      <c r="E27" s="215">
        <v>0</v>
      </c>
      <c r="F27" s="215">
        <v>0</v>
      </c>
      <c r="G27" s="215">
        <v>0</v>
      </c>
      <c r="H27" s="215">
        <v>0</v>
      </c>
      <c r="I27" s="215">
        <v>0</v>
      </c>
      <c r="J27" s="215">
        <v>0</v>
      </c>
      <c r="K27" s="215">
        <v>0</v>
      </c>
      <c r="L27" s="215">
        <v>0</v>
      </c>
      <c r="M27" s="215">
        <v>0</v>
      </c>
      <c r="N27" s="215">
        <v>0</v>
      </c>
      <c r="O27" s="215">
        <f t="shared" si="1"/>
        <v>0</v>
      </c>
    </row>
    <row r="28" spans="1:15" s="121" customFormat="1" ht="14.45" customHeight="1" x14ac:dyDescent="0.25">
      <c r="A28" s="521"/>
      <c r="B28" s="214" t="s">
        <v>161</v>
      </c>
      <c r="C28" s="215">
        <v>0</v>
      </c>
      <c r="D28" s="215">
        <v>0</v>
      </c>
      <c r="E28" s="215">
        <v>0</v>
      </c>
      <c r="F28" s="215">
        <v>0</v>
      </c>
      <c r="G28" s="215">
        <v>0</v>
      </c>
      <c r="H28" s="215">
        <v>0</v>
      </c>
      <c r="I28" s="215">
        <v>0</v>
      </c>
      <c r="J28" s="215">
        <v>0</v>
      </c>
      <c r="K28" s="215">
        <v>3.3463690000000004E-2</v>
      </c>
      <c r="L28" s="215">
        <v>0.12715050999999999</v>
      </c>
      <c r="M28" s="215">
        <v>1.2145049999999999E-2</v>
      </c>
      <c r="N28" s="215">
        <v>1.7560369999999999E-2</v>
      </c>
      <c r="O28" s="215">
        <f t="shared" si="1"/>
        <v>0.19031961999999997</v>
      </c>
    </row>
    <row r="29" spans="1:15" s="121" customFormat="1" ht="22.5" x14ac:dyDescent="0.25">
      <c r="A29" s="211" t="s">
        <v>429</v>
      </c>
      <c r="B29" s="212">
        <v>39</v>
      </c>
      <c r="C29" s="213">
        <v>0</v>
      </c>
      <c r="D29" s="213">
        <v>0</v>
      </c>
      <c r="E29" s="213">
        <v>0</v>
      </c>
      <c r="F29" s="213">
        <v>0</v>
      </c>
      <c r="G29" s="213">
        <v>0</v>
      </c>
      <c r="H29" s="213">
        <v>0</v>
      </c>
      <c r="I29" s="213">
        <v>0</v>
      </c>
      <c r="J29" s="213">
        <v>0</v>
      </c>
      <c r="K29" s="213">
        <v>0</v>
      </c>
      <c r="L29" s="213">
        <v>0</v>
      </c>
      <c r="M29" s="213">
        <v>0</v>
      </c>
      <c r="N29" s="213">
        <v>0</v>
      </c>
      <c r="O29" s="213">
        <f t="shared" si="1"/>
        <v>0</v>
      </c>
    </row>
    <row r="30" spans="1:15" s="121" customFormat="1" ht="22.5" x14ac:dyDescent="0.25">
      <c r="A30" s="208" t="s">
        <v>436</v>
      </c>
      <c r="B30" s="214" t="s">
        <v>46</v>
      </c>
      <c r="C30" s="215">
        <v>0</v>
      </c>
      <c r="D30" s="215">
        <v>0</v>
      </c>
      <c r="E30" s="215">
        <v>0</v>
      </c>
      <c r="F30" s="215">
        <v>0</v>
      </c>
      <c r="G30" s="215">
        <v>0</v>
      </c>
      <c r="H30" s="215">
        <v>0</v>
      </c>
      <c r="I30" s="215">
        <v>0</v>
      </c>
      <c r="J30" s="215">
        <v>0</v>
      </c>
      <c r="K30" s="215">
        <v>0</v>
      </c>
      <c r="L30" s="215">
        <v>0</v>
      </c>
      <c r="M30" s="215">
        <v>0</v>
      </c>
      <c r="N30" s="215">
        <v>0</v>
      </c>
      <c r="O30" s="215">
        <f t="shared" si="1"/>
        <v>0</v>
      </c>
    </row>
    <row r="31" spans="1:15" s="121" customFormat="1" ht="14.45" customHeight="1" x14ac:dyDescent="0.25">
      <c r="A31" s="211" t="s">
        <v>437</v>
      </c>
      <c r="B31" s="212" t="s">
        <v>156</v>
      </c>
      <c r="C31" s="213">
        <v>1.0625060000000002E-3</v>
      </c>
      <c r="D31" s="213">
        <v>4.5322300000000008E-3</v>
      </c>
      <c r="E31" s="213">
        <v>8.2205999999999989E-4</v>
      </c>
      <c r="F31" s="213">
        <v>0</v>
      </c>
      <c r="G31" s="213">
        <v>0</v>
      </c>
      <c r="H31" s="213">
        <v>0</v>
      </c>
      <c r="I31" s="213">
        <v>0</v>
      </c>
      <c r="J31" s="213">
        <v>0</v>
      </c>
      <c r="K31" s="213">
        <v>0</v>
      </c>
      <c r="L31" s="213">
        <v>0</v>
      </c>
      <c r="M31" s="213">
        <v>0</v>
      </c>
      <c r="N31" s="213">
        <v>0</v>
      </c>
      <c r="O31" s="213">
        <f t="shared" si="1"/>
        <v>6.4167960000000007E-3</v>
      </c>
    </row>
    <row r="32" spans="1:15" s="121" customFormat="1" ht="14.45" customHeight="1" x14ac:dyDescent="0.25">
      <c r="A32" s="520" t="s">
        <v>438</v>
      </c>
      <c r="B32" s="214">
        <v>107</v>
      </c>
      <c r="C32" s="215">
        <v>0.16302755999999999</v>
      </c>
      <c r="D32" s="215">
        <v>9.1451399999999988E-2</v>
      </c>
      <c r="E32" s="215">
        <v>4.3462480000000005E-2</v>
      </c>
      <c r="F32" s="215">
        <v>-1.3814089999999999E-2</v>
      </c>
      <c r="G32" s="215">
        <v>1.1280360000000001E-2</v>
      </c>
      <c r="H32" s="215">
        <v>8.8068799999999996E-3</v>
      </c>
      <c r="I32" s="215">
        <v>6.3036700000000001E-2</v>
      </c>
      <c r="J32" s="215">
        <v>7.6473380000000007E-2</v>
      </c>
      <c r="K32" s="215">
        <v>7.1749130000000008E-2</v>
      </c>
      <c r="L32" s="215">
        <v>7.4331250000000001E-2</v>
      </c>
      <c r="M32" s="215">
        <v>6.7538039999999994E-2</v>
      </c>
      <c r="N32" s="215">
        <v>0.13299594000000001</v>
      </c>
      <c r="O32" s="215">
        <f t="shared" si="1"/>
        <v>0.79033903000000005</v>
      </c>
    </row>
    <row r="33" spans="1:15" ht="22.9" customHeight="1" x14ac:dyDescent="0.25">
      <c r="A33" s="520"/>
      <c r="B33" s="214">
        <v>133</v>
      </c>
      <c r="C33" s="215">
        <v>0</v>
      </c>
      <c r="D33" s="215">
        <v>0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0</v>
      </c>
      <c r="N33" s="215">
        <v>0</v>
      </c>
      <c r="O33" s="215">
        <f t="shared" si="1"/>
        <v>0</v>
      </c>
    </row>
    <row r="34" spans="1:15" s="121" customFormat="1" ht="14.45" customHeight="1" x14ac:dyDescent="0.25">
      <c r="A34" s="211" t="s">
        <v>148</v>
      </c>
      <c r="B34" s="212">
        <v>108</v>
      </c>
      <c r="C34" s="213">
        <v>3.7026400000000001E-2</v>
      </c>
      <c r="D34" s="213">
        <v>0.20128281000000001</v>
      </c>
      <c r="E34" s="213">
        <v>0.21136168</v>
      </c>
      <c r="F34" s="213">
        <v>6.8485610000000002E-2</v>
      </c>
      <c r="G34" s="213">
        <v>2.3467729999999999E-2</v>
      </c>
      <c r="H34" s="213">
        <v>0.10982102000000001</v>
      </c>
      <c r="I34" s="213">
        <v>4.0686489999999999E-2</v>
      </c>
      <c r="J34" s="213">
        <v>1.923337E-2</v>
      </c>
      <c r="K34" s="213">
        <v>2.702135E-2</v>
      </c>
      <c r="L34" s="213">
        <v>0</v>
      </c>
      <c r="M34" s="213">
        <v>0</v>
      </c>
      <c r="N34" s="213">
        <v>0</v>
      </c>
      <c r="O34" s="213">
        <f t="shared" si="1"/>
        <v>0.73838646000000008</v>
      </c>
    </row>
    <row r="35" spans="1:15" ht="14.45" customHeight="1" x14ac:dyDescent="0.25">
      <c r="A35" s="208" t="s">
        <v>439</v>
      </c>
      <c r="B35" s="214">
        <v>8</v>
      </c>
      <c r="C35" s="215">
        <v>1.3903316299999999</v>
      </c>
      <c r="D35" s="215">
        <v>1.2793734299999999</v>
      </c>
      <c r="E35" s="215">
        <v>0.90569879000000009</v>
      </c>
      <c r="F35" s="215">
        <v>0.32833540999999999</v>
      </c>
      <c r="G35" s="215">
        <v>1.934814E-2</v>
      </c>
      <c r="H35" s="215">
        <v>4.935875E-2</v>
      </c>
      <c r="I35" s="215">
        <v>5.3775010000000005E-2</v>
      </c>
      <c r="J35" s="215">
        <v>-7.8128000000000017E-3</v>
      </c>
      <c r="K35" s="215">
        <v>-3.1283299999999999E-3</v>
      </c>
      <c r="L35" s="215">
        <v>0.12257635</v>
      </c>
      <c r="M35" s="215">
        <v>4.3615580000000001E-2</v>
      </c>
      <c r="N35" s="215">
        <v>7.9753900000000006E-3</v>
      </c>
      <c r="O35" s="215">
        <f t="shared" si="1"/>
        <v>4.1894473500000009</v>
      </c>
    </row>
    <row r="36" spans="1:15" s="121" customFormat="1" ht="14.45" customHeight="1" x14ac:dyDescent="0.25">
      <c r="A36" s="522" t="s">
        <v>440</v>
      </c>
      <c r="B36" s="212">
        <v>56</v>
      </c>
      <c r="C36" s="213">
        <v>1.71707945</v>
      </c>
      <c r="D36" s="213">
        <v>4.2654698399999997</v>
      </c>
      <c r="E36" s="213">
        <v>4.29080671</v>
      </c>
      <c r="F36" s="213">
        <v>2.5142162200000002</v>
      </c>
      <c r="G36" s="213">
        <v>0.41371703999999998</v>
      </c>
      <c r="H36" s="213">
        <v>0.60718934000000002</v>
      </c>
      <c r="I36" s="213">
        <v>0.60692510999999993</v>
      </c>
      <c r="J36" s="213">
        <v>0.92726149999999996</v>
      </c>
      <c r="K36" s="213">
        <v>8.0535880000000004E-2</v>
      </c>
      <c r="L36" s="213">
        <v>0.47755762000000002</v>
      </c>
      <c r="M36" s="213">
        <v>0.21217470999999999</v>
      </c>
      <c r="N36" s="213">
        <v>0.49919457</v>
      </c>
      <c r="O36" s="213">
        <f t="shared" si="1"/>
        <v>16.612127990000001</v>
      </c>
    </row>
    <row r="37" spans="1:15" s="121" customFormat="1" ht="14.45" customHeight="1" x14ac:dyDescent="0.25">
      <c r="A37" s="522"/>
      <c r="B37" s="212">
        <v>88</v>
      </c>
      <c r="C37" s="213">
        <v>6.3441445099999996</v>
      </c>
      <c r="D37" s="213">
        <v>6.0034990199999996</v>
      </c>
      <c r="E37" s="213">
        <v>4.9304942999999994</v>
      </c>
      <c r="F37" s="213">
        <v>2.2852800800000002</v>
      </c>
      <c r="G37" s="213">
        <v>2.4806374600000001</v>
      </c>
      <c r="H37" s="213">
        <v>1.48057248</v>
      </c>
      <c r="I37" s="213">
        <v>1.6506786499999999</v>
      </c>
      <c r="J37" s="213">
        <v>1.38848481</v>
      </c>
      <c r="K37" s="213">
        <v>3.1030557400000003</v>
      </c>
      <c r="L37" s="213">
        <v>1.06712008</v>
      </c>
      <c r="M37" s="213">
        <v>5.6143663899999998</v>
      </c>
      <c r="N37" s="213">
        <v>4.5790945199999999</v>
      </c>
      <c r="O37" s="213">
        <f t="shared" si="1"/>
        <v>40.927428039999995</v>
      </c>
    </row>
    <row r="38" spans="1:15" s="121" customFormat="1" ht="22.5" x14ac:dyDescent="0.25">
      <c r="A38" s="208" t="s">
        <v>441</v>
      </c>
      <c r="B38" s="214">
        <v>57</v>
      </c>
      <c r="C38" s="215">
        <v>0.75934449000000004</v>
      </c>
      <c r="D38" s="215">
        <v>8.9606529199999994</v>
      </c>
      <c r="E38" s="215">
        <v>1.7012984799999999</v>
      </c>
      <c r="F38" s="215">
        <v>1.3654388200000001</v>
      </c>
      <c r="G38" s="215">
        <v>1.1059366100000001</v>
      </c>
      <c r="H38" s="215">
        <v>0.39224580999999997</v>
      </c>
      <c r="I38" s="215">
        <v>0.34405386999999998</v>
      </c>
      <c r="J38" s="215">
        <v>0.37517965000000003</v>
      </c>
      <c r="K38" s="215">
        <v>0.26934115000000003</v>
      </c>
      <c r="L38" s="215">
        <v>0.16072129000000002</v>
      </c>
      <c r="M38" s="215">
        <v>0.18745101</v>
      </c>
      <c r="N38" s="215">
        <v>-0.56157999999999997</v>
      </c>
      <c r="O38" s="215">
        <f t="shared" si="1"/>
        <v>15.060084100000001</v>
      </c>
    </row>
    <row r="39" spans="1:15" s="121" customFormat="1" ht="22.5" x14ac:dyDescent="0.25">
      <c r="A39" s="211" t="s">
        <v>442</v>
      </c>
      <c r="B39" s="212" t="s">
        <v>443</v>
      </c>
      <c r="C39" s="213">
        <v>0</v>
      </c>
      <c r="D39" s="213">
        <v>8.7148679999999992E-2</v>
      </c>
      <c r="E39" s="213">
        <v>9.0320000000000001E-3</v>
      </c>
      <c r="F39" s="213">
        <v>2.937E-2</v>
      </c>
      <c r="G39" s="213">
        <v>6.6600000000000001E-3</v>
      </c>
      <c r="H39" s="213">
        <v>5.0693599999999998E-2</v>
      </c>
      <c r="I39" s="213">
        <v>3.2146649999999999E-2</v>
      </c>
      <c r="J39" s="213">
        <v>3.8405089999999996E-2</v>
      </c>
      <c r="K39" s="213">
        <v>0.10113091</v>
      </c>
      <c r="L39" s="213">
        <v>0.20902334</v>
      </c>
      <c r="M39" s="213">
        <v>0.22857617999999999</v>
      </c>
      <c r="N39" s="213">
        <v>0.65340386000000006</v>
      </c>
      <c r="O39" s="213">
        <f t="shared" si="1"/>
        <v>1.44559031</v>
      </c>
    </row>
    <row r="40" spans="1:15" s="121" customFormat="1" ht="14.45" customHeight="1" x14ac:dyDescent="0.25">
      <c r="A40" s="521" t="s">
        <v>444</v>
      </c>
      <c r="B40" s="214" t="s">
        <v>76</v>
      </c>
      <c r="C40" s="215">
        <v>1.4380599999999999</v>
      </c>
      <c r="D40" s="215">
        <v>1.4199387999999999</v>
      </c>
      <c r="E40" s="215">
        <v>1.0573896299999999</v>
      </c>
      <c r="F40" s="215">
        <v>0.51009926999999999</v>
      </c>
      <c r="G40" s="215">
        <v>0.1195894</v>
      </c>
      <c r="H40" s="215">
        <v>0.23813745</v>
      </c>
      <c r="I40" s="215">
        <v>0.69930137999999997</v>
      </c>
      <c r="J40" s="215">
        <v>0.27050855000000001</v>
      </c>
      <c r="K40" s="215">
        <v>0.28052874</v>
      </c>
      <c r="L40" s="215">
        <v>0.10147053</v>
      </c>
      <c r="M40" s="215">
        <v>1.2408174999999999</v>
      </c>
      <c r="N40" s="215">
        <v>2.2340738500000001</v>
      </c>
      <c r="O40" s="215">
        <f t="shared" si="1"/>
        <v>9.6099150999999985</v>
      </c>
    </row>
    <row r="41" spans="1:15" ht="14.45" customHeight="1" x14ac:dyDescent="0.25">
      <c r="A41" s="521"/>
      <c r="B41" s="214" t="s">
        <v>164</v>
      </c>
      <c r="C41" s="215">
        <v>0</v>
      </c>
      <c r="D41" s="215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15">
        <v>0</v>
      </c>
      <c r="K41" s="215">
        <v>0</v>
      </c>
      <c r="L41" s="215">
        <v>0</v>
      </c>
      <c r="M41" s="215">
        <v>0</v>
      </c>
      <c r="N41" s="215">
        <v>0</v>
      </c>
      <c r="O41" s="215">
        <f t="shared" si="1"/>
        <v>0</v>
      </c>
    </row>
    <row r="42" spans="1:15" s="121" customFormat="1" ht="14.45" customHeight="1" x14ac:dyDescent="0.25">
      <c r="A42" s="522" t="s">
        <v>445</v>
      </c>
      <c r="B42" s="212" t="s">
        <v>16</v>
      </c>
      <c r="C42" s="213">
        <v>0</v>
      </c>
      <c r="D42" s="213">
        <v>1.323E-3</v>
      </c>
      <c r="E42" s="213">
        <v>9.7900000000000005E-4</v>
      </c>
      <c r="F42" s="213">
        <v>3.9100000000000002E-4</v>
      </c>
      <c r="G42" s="213">
        <v>-0.109301</v>
      </c>
      <c r="H42" s="213">
        <v>0</v>
      </c>
      <c r="I42" s="213">
        <v>5.0699999999999996E-4</v>
      </c>
      <c r="J42" s="213">
        <v>4.7849999999999997E-2</v>
      </c>
      <c r="K42" s="213">
        <v>0.16730400000000001</v>
      </c>
      <c r="L42" s="213">
        <v>2.1512E-2</v>
      </c>
      <c r="M42" s="213">
        <v>2.1964999999999998E-2</v>
      </c>
      <c r="N42" s="213">
        <v>7.1276000000000006E-2</v>
      </c>
      <c r="O42" s="213">
        <f t="shared" si="1"/>
        <v>0.223806</v>
      </c>
    </row>
    <row r="43" spans="1:15" s="121" customFormat="1" ht="14.45" customHeight="1" x14ac:dyDescent="0.25">
      <c r="A43" s="522"/>
      <c r="B43" s="212" t="s">
        <v>17</v>
      </c>
      <c r="C43" s="213">
        <v>0</v>
      </c>
      <c r="D43" s="213">
        <v>1.323E-3</v>
      </c>
      <c r="E43" s="213">
        <v>9.7799999999999992E-4</v>
      </c>
      <c r="F43" s="213">
        <v>3.9100000000000002E-4</v>
      </c>
      <c r="G43" s="213">
        <v>-0.109268</v>
      </c>
      <c r="H43" s="213">
        <v>0</v>
      </c>
      <c r="I43" s="213">
        <v>5.0699999999999996E-4</v>
      </c>
      <c r="J43" s="213">
        <v>4.7835999999999997E-2</v>
      </c>
      <c r="K43" s="213">
        <v>0.16730400000000001</v>
      </c>
      <c r="L43" s="213">
        <v>2.1506000000000001E-2</v>
      </c>
      <c r="M43" s="213">
        <v>2.1958999999999999E-2</v>
      </c>
      <c r="N43" s="213">
        <v>7.1276000000000006E-2</v>
      </c>
      <c r="O43" s="213">
        <f t="shared" si="1"/>
        <v>0.22381200000000001</v>
      </c>
    </row>
    <row r="44" spans="1:15" s="121" customFormat="1" ht="14.45" customHeight="1" x14ac:dyDescent="0.25">
      <c r="A44" s="522"/>
      <c r="B44" s="212" t="s">
        <v>18</v>
      </c>
      <c r="C44" s="213">
        <v>0</v>
      </c>
      <c r="D44" s="213">
        <v>1.323E-3</v>
      </c>
      <c r="E44" s="213">
        <v>9.7799999999999992E-4</v>
      </c>
      <c r="F44" s="213">
        <v>3.9100000000000002E-4</v>
      </c>
      <c r="G44" s="213">
        <v>-0.109268</v>
      </c>
      <c r="H44" s="213">
        <v>0</v>
      </c>
      <c r="I44" s="213">
        <v>5.0699999999999996E-4</v>
      </c>
      <c r="J44" s="213">
        <v>4.7835999999999997E-2</v>
      </c>
      <c r="K44" s="213">
        <v>0.16730400000000001</v>
      </c>
      <c r="L44" s="213">
        <v>2.1506000000000001E-2</v>
      </c>
      <c r="M44" s="213">
        <v>2.1958999999999999E-2</v>
      </c>
      <c r="N44" s="213">
        <v>7.1276000000000006E-2</v>
      </c>
      <c r="O44" s="213">
        <f t="shared" si="1"/>
        <v>0.22381200000000001</v>
      </c>
    </row>
    <row r="45" spans="1:15" ht="19.149999999999999" customHeight="1" x14ac:dyDescent="0.25">
      <c r="A45" s="521" t="s">
        <v>446</v>
      </c>
      <c r="B45" s="214" t="s">
        <v>42</v>
      </c>
      <c r="C45" s="215">
        <v>0.11831992</v>
      </c>
      <c r="D45" s="215">
        <v>0.12891453</v>
      </c>
      <c r="E45" s="215">
        <v>9.9077699999999991E-2</v>
      </c>
      <c r="F45" s="215">
        <v>0.17098240000000001</v>
      </c>
      <c r="G45" s="215">
        <v>0.13547200000000001</v>
      </c>
      <c r="H45" s="215">
        <v>0.16561699999999999</v>
      </c>
      <c r="I45" s="215">
        <v>0.10803834</v>
      </c>
      <c r="J45" s="215">
        <v>4.6138739999999998E-2</v>
      </c>
      <c r="K45" s="215">
        <v>6.4429E-2</v>
      </c>
      <c r="L45" s="215">
        <v>0.11541860000000001</v>
      </c>
      <c r="M45" s="215">
        <v>3.7883500000000001E-2</v>
      </c>
      <c r="N45" s="215">
        <v>5.7072480000000002E-2</v>
      </c>
      <c r="O45" s="215">
        <f t="shared" si="1"/>
        <v>1.24736421</v>
      </c>
    </row>
    <row r="46" spans="1:15" ht="19.149999999999999" customHeight="1" x14ac:dyDescent="0.25">
      <c r="A46" s="521"/>
      <c r="B46" s="214" t="s">
        <v>44</v>
      </c>
      <c r="C46" s="215">
        <v>0</v>
      </c>
      <c r="D46" s="215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0</v>
      </c>
      <c r="M46" s="215">
        <v>1.7641400000000002E-2</v>
      </c>
      <c r="N46" s="215">
        <v>3.9256620000000006E-2</v>
      </c>
      <c r="O46" s="215">
        <f t="shared" si="1"/>
        <v>5.6898020000000007E-2</v>
      </c>
    </row>
    <row r="47" spans="1:15" ht="19.149999999999999" customHeight="1" x14ac:dyDescent="0.25">
      <c r="A47" s="521"/>
      <c r="B47" s="214" t="s">
        <v>45</v>
      </c>
      <c r="C47" s="215">
        <v>0</v>
      </c>
      <c r="D47" s="215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1.9811970000000002E-2</v>
      </c>
      <c r="N47" s="215">
        <v>1.1518250000000001E-2</v>
      </c>
      <c r="O47" s="215">
        <f t="shared" si="1"/>
        <v>3.1330220000000006E-2</v>
      </c>
    </row>
    <row r="48" spans="1:15" s="121" customFormat="1" ht="24" customHeight="1" x14ac:dyDescent="0.25">
      <c r="A48" s="216" t="s">
        <v>441</v>
      </c>
      <c r="B48" s="212">
        <v>103</v>
      </c>
      <c r="C48" s="213">
        <v>8.2029999999999999E-5</v>
      </c>
      <c r="D48" s="213">
        <v>2.0160750000000005E-2</v>
      </c>
      <c r="E48" s="213">
        <v>4.9845849999999997E-2</v>
      </c>
      <c r="F48" s="213">
        <v>5.2250500000000002E-3</v>
      </c>
      <c r="G48" s="213">
        <v>3.4988800000000002E-3</v>
      </c>
      <c r="H48" s="213">
        <v>2.5706599999999998E-3</v>
      </c>
      <c r="I48" s="213">
        <v>1.19388E-3</v>
      </c>
      <c r="J48" s="213">
        <v>-2.2377080000000001E-2</v>
      </c>
      <c r="K48" s="213">
        <v>8.7012000000000005E-4</v>
      </c>
      <c r="L48" s="213">
        <v>1.91724E-3</v>
      </c>
      <c r="M48" s="213">
        <v>1.9511800000000001E-3</v>
      </c>
      <c r="N48" s="213">
        <v>2.3623699999999999E-3</v>
      </c>
      <c r="O48" s="213">
        <f t="shared" si="1"/>
        <v>6.7300929999999981E-2</v>
      </c>
    </row>
    <row r="49" spans="1:15" ht="24" customHeight="1" x14ac:dyDescent="0.25">
      <c r="A49" s="217" t="s">
        <v>120</v>
      </c>
      <c r="B49" s="214" t="s">
        <v>41</v>
      </c>
      <c r="C49" s="215">
        <v>0</v>
      </c>
      <c r="D49" s="215">
        <v>0</v>
      </c>
      <c r="E49" s="215">
        <v>0</v>
      </c>
      <c r="F49" s="215">
        <v>0</v>
      </c>
      <c r="G49" s="215">
        <v>0</v>
      </c>
      <c r="H49" s="215">
        <v>0</v>
      </c>
      <c r="I49" s="215">
        <v>0</v>
      </c>
      <c r="J49" s="215">
        <v>0</v>
      </c>
      <c r="K49" s="215">
        <v>0</v>
      </c>
      <c r="L49" s="215">
        <v>0</v>
      </c>
      <c r="M49" s="215">
        <v>0</v>
      </c>
      <c r="N49" s="215">
        <v>0</v>
      </c>
      <c r="O49" s="215">
        <f t="shared" si="1"/>
        <v>0</v>
      </c>
    </row>
    <row r="50" spans="1:15" s="121" customFormat="1" ht="24.6" customHeight="1" x14ac:dyDescent="0.25">
      <c r="A50" s="216" t="s">
        <v>447</v>
      </c>
      <c r="B50" s="212" t="s">
        <v>40</v>
      </c>
      <c r="C50" s="213">
        <v>0.02</v>
      </c>
      <c r="D50" s="213">
        <v>0.02</v>
      </c>
      <c r="E50" s="213">
        <v>0.02</v>
      </c>
      <c r="F50" s="213">
        <v>3.5000000000000001E-3</v>
      </c>
      <c r="G50" s="213">
        <v>3.5000000000000001E-3</v>
      </c>
      <c r="H50" s="213">
        <v>3.5000000000000001E-3</v>
      </c>
      <c r="I50" s="213">
        <v>3.5000000000000001E-3</v>
      </c>
      <c r="J50" s="213">
        <v>3.5000000000000001E-3</v>
      </c>
      <c r="K50" s="213">
        <v>1.0500000000000001E-2</v>
      </c>
      <c r="L50" s="213">
        <v>5.0000000000000001E-3</v>
      </c>
      <c r="M50" s="213">
        <v>3.5000000000000001E-3</v>
      </c>
      <c r="N50" s="213">
        <v>3.5000000000000001E-3</v>
      </c>
      <c r="O50" s="213">
        <f t="shared" si="1"/>
        <v>0.10000000000000002</v>
      </c>
    </row>
    <row r="51" spans="1:15" s="219" customFormat="1" ht="20.45" customHeight="1" x14ac:dyDescent="0.25">
      <c r="A51" s="523" t="s">
        <v>47</v>
      </c>
      <c r="B51" s="523"/>
      <c r="C51" s="218">
        <f>+SUM(C7:C50)</f>
        <v>47.334780555999998</v>
      </c>
      <c r="D51" s="218">
        <f t="shared" ref="D51:N51" si="2">+SUM(D7:D50)</f>
        <v>60.161941089999999</v>
      </c>
      <c r="E51" s="218">
        <f t="shared" si="2"/>
        <v>49.136958640000017</v>
      </c>
      <c r="F51" s="218">
        <f t="shared" si="2"/>
        <v>21.759298670000003</v>
      </c>
      <c r="G51" s="218">
        <f t="shared" si="2"/>
        <v>10.314858590000004</v>
      </c>
      <c r="H51" s="218">
        <f>+SUM(H7:H50)</f>
        <v>5.5583685599999999</v>
      </c>
      <c r="I51" s="218">
        <f t="shared" si="2"/>
        <v>5.7573765299999975</v>
      </c>
      <c r="J51" s="218">
        <f t="shared" si="2"/>
        <v>5.3953197900000012</v>
      </c>
      <c r="K51" s="218">
        <f t="shared" si="2"/>
        <v>7.4079116799999998</v>
      </c>
      <c r="L51" s="218">
        <f t="shared" si="2"/>
        <v>6.6709164799999998</v>
      </c>
      <c r="M51" s="218">
        <f t="shared" si="2"/>
        <v>11.874307500000004</v>
      </c>
      <c r="N51" s="218">
        <f t="shared" si="2"/>
        <v>14.282799279999997</v>
      </c>
      <c r="O51" s="218">
        <f>+SUM(O7:O50)</f>
        <v>245.65483736600004</v>
      </c>
    </row>
    <row r="53" spans="1:15" ht="14.45" customHeight="1" x14ac:dyDescent="0.25">
      <c r="A53" s="1" t="s">
        <v>513</v>
      </c>
      <c r="C53" s="272"/>
      <c r="D53" s="272"/>
      <c r="E53" s="272"/>
      <c r="F53" s="272"/>
      <c r="G53" s="272"/>
      <c r="H53" s="273"/>
      <c r="I53" s="272"/>
      <c r="J53" s="272"/>
      <c r="K53" s="272"/>
      <c r="L53" s="272"/>
      <c r="M53" s="272"/>
      <c r="N53" s="272"/>
      <c r="O53" s="272"/>
    </row>
  </sheetData>
  <mergeCells count="12">
    <mergeCell ref="A36:A37"/>
    <mergeCell ref="A40:A41"/>
    <mergeCell ref="A42:A44"/>
    <mergeCell ref="A45:A47"/>
    <mergeCell ref="A51:B51"/>
    <mergeCell ref="A32:A33"/>
    <mergeCell ref="A2:O2"/>
    <mergeCell ref="A4:O4"/>
    <mergeCell ref="A5:O5"/>
    <mergeCell ref="A10:A11"/>
    <mergeCell ref="A15:A17"/>
    <mergeCell ref="A27:A28"/>
  </mergeCells>
  <pageMargins left="0.7" right="0.7" top="0.75" bottom="0.75" header="0.3" footer="0.3"/>
  <pageSetup scale="5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O38"/>
  <sheetViews>
    <sheetView showGridLines="0" workbookViewId="0">
      <selection activeCell="B16" sqref="B16:G17"/>
    </sheetView>
  </sheetViews>
  <sheetFormatPr baseColWidth="10" defaultColWidth="11.42578125" defaultRowHeight="11.25" x14ac:dyDescent="0.25"/>
  <cols>
    <col min="1" max="8" width="11.42578125" style="192"/>
    <col min="9" max="9" width="10.7109375" style="192" customWidth="1"/>
    <col min="10" max="16384" width="11.42578125" style="192"/>
  </cols>
  <sheetData>
    <row r="2" spans="1:15" ht="12" x14ac:dyDescent="0.2">
      <c r="A2" s="488" t="s">
        <v>535</v>
      </c>
      <c r="B2" s="488"/>
      <c r="C2" s="488"/>
      <c r="D2" s="488"/>
      <c r="E2" s="488"/>
      <c r="F2" s="488"/>
      <c r="G2" s="488"/>
      <c r="H2" s="488"/>
      <c r="I2" s="488"/>
      <c r="J2" s="267"/>
      <c r="K2" s="267"/>
      <c r="L2" s="267"/>
      <c r="M2" s="267"/>
      <c r="N2" s="267"/>
      <c r="O2" s="267"/>
    </row>
    <row r="4" spans="1:15" s="190" customFormat="1" ht="11.25" customHeight="1" x14ac:dyDescent="0.25">
      <c r="A4" s="465" t="s">
        <v>448</v>
      </c>
      <c r="B4" s="465"/>
      <c r="C4" s="465"/>
      <c r="D4" s="465"/>
      <c r="E4" s="465"/>
      <c r="F4" s="465"/>
      <c r="G4" s="465"/>
      <c r="H4" s="465"/>
      <c r="I4" s="465"/>
    </row>
    <row r="5" spans="1:15" s="190" customFormat="1" x14ac:dyDescent="0.25">
      <c r="A5" s="465" t="s">
        <v>536</v>
      </c>
      <c r="B5" s="465"/>
      <c r="C5" s="465"/>
      <c r="D5" s="465"/>
      <c r="E5" s="465"/>
      <c r="F5" s="465"/>
      <c r="G5" s="465"/>
      <c r="H5" s="465"/>
      <c r="I5" s="465"/>
    </row>
    <row r="6" spans="1:15" s="190" customFormat="1" x14ac:dyDescent="0.25">
      <c r="A6" s="220"/>
      <c r="B6" s="118">
        <v>2013</v>
      </c>
      <c r="C6" s="59">
        <v>2014</v>
      </c>
      <c r="D6" s="59">
        <v>2015</v>
      </c>
      <c r="E6" s="59">
        <v>2016</v>
      </c>
      <c r="F6" s="59">
        <v>2017</v>
      </c>
      <c r="G6" s="59">
        <v>2018</v>
      </c>
      <c r="H6" s="59">
        <v>2019</v>
      </c>
      <c r="I6" s="59">
        <v>2020</v>
      </c>
    </row>
    <row r="7" spans="1:15" x14ac:dyDescent="0.25">
      <c r="A7" s="52" t="s">
        <v>34</v>
      </c>
      <c r="B7" s="52">
        <v>492.44</v>
      </c>
      <c r="C7" s="52">
        <v>501.76</v>
      </c>
      <c r="D7" s="52">
        <v>316.69</v>
      </c>
      <c r="E7" s="52">
        <v>46.95</v>
      </c>
      <c r="F7" s="52">
        <v>17.079999999999998</v>
      </c>
      <c r="G7" s="52">
        <v>40.76</v>
      </c>
      <c r="H7" s="221">
        <v>57.727806999999999</v>
      </c>
      <c r="I7" s="221">
        <v>61.1</v>
      </c>
      <c r="K7" s="278">
        <f>+I7/H7-1</f>
        <v>5.8415401090846863E-2</v>
      </c>
    </row>
    <row r="8" spans="1:15" x14ac:dyDescent="0.25">
      <c r="A8" s="52" t="s">
        <v>449</v>
      </c>
      <c r="B8" s="52">
        <v>895.41</v>
      </c>
      <c r="C8" s="52">
        <v>688.01</v>
      </c>
      <c r="D8" s="52">
        <v>438.23</v>
      </c>
      <c r="E8" s="52">
        <v>285.69</v>
      </c>
      <c r="F8" s="52">
        <v>469.79</v>
      </c>
      <c r="G8" s="52">
        <v>561.16999999999996</v>
      </c>
      <c r="H8" s="221">
        <v>561.99657999999999</v>
      </c>
      <c r="I8" s="221">
        <v>184.55</v>
      </c>
      <c r="K8" s="278">
        <f>+I8/H8-1</f>
        <v>-0.67161721873823499</v>
      </c>
    </row>
    <row r="9" spans="1:15" ht="12.75" x14ac:dyDescent="0.25">
      <c r="A9" s="222" t="s">
        <v>393</v>
      </c>
      <c r="B9" s="223">
        <f>SUM(B7:B8)</f>
        <v>1387.85</v>
      </c>
      <c r="C9" s="223">
        <f>SUM(C7:C8)</f>
        <v>1189.77</v>
      </c>
      <c r="D9" s="223">
        <f t="shared" ref="D9:I9" si="0">SUM(D7:D8)</f>
        <v>754.92000000000007</v>
      </c>
      <c r="E9" s="223">
        <f t="shared" si="0"/>
        <v>332.64</v>
      </c>
      <c r="F9" s="223">
        <f t="shared" si="0"/>
        <v>486.87</v>
      </c>
      <c r="G9" s="223">
        <f t="shared" si="0"/>
        <v>601.92999999999995</v>
      </c>
      <c r="H9" s="223">
        <f t="shared" si="0"/>
        <v>619.72438699999998</v>
      </c>
      <c r="I9" s="223">
        <f t="shared" si="0"/>
        <v>245.65</v>
      </c>
      <c r="K9" s="278">
        <f>+I9/H9-1</f>
        <v>-0.60361411434983592</v>
      </c>
    </row>
    <row r="10" spans="1:15" x14ac:dyDescent="0.25">
      <c r="A10" s="1" t="s">
        <v>513</v>
      </c>
    </row>
    <row r="12" spans="1:15" x14ac:dyDescent="0.25">
      <c r="A12" s="52" t="s">
        <v>34</v>
      </c>
      <c r="B12" s="274">
        <v>492.44</v>
      </c>
      <c r="C12" s="274">
        <v>501.76</v>
      </c>
      <c r="D12" s="274">
        <v>316.69</v>
      </c>
      <c r="E12" s="274">
        <v>46.95</v>
      </c>
      <c r="F12" s="274">
        <v>17.079999999999998</v>
      </c>
      <c r="G12" s="274">
        <v>40.76</v>
      </c>
      <c r="H12" s="275">
        <v>57.727806999999999</v>
      </c>
      <c r="I12" s="275">
        <v>61.1</v>
      </c>
    </row>
    <row r="13" spans="1:15" x14ac:dyDescent="0.25">
      <c r="A13" s="52" t="s">
        <v>449</v>
      </c>
      <c r="B13" s="274">
        <v>895.41</v>
      </c>
      <c r="C13" s="274">
        <v>688.01</v>
      </c>
      <c r="D13" s="274">
        <v>438.23</v>
      </c>
      <c r="E13" s="274">
        <v>285.69</v>
      </c>
      <c r="F13" s="274">
        <v>469.79</v>
      </c>
      <c r="G13" s="274">
        <v>561.16999999999996</v>
      </c>
      <c r="H13" s="275">
        <v>561.99657999999999</v>
      </c>
      <c r="I13" s="275">
        <v>184.55</v>
      </c>
    </row>
    <row r="16" spans="1:15" ht="10.15" customHeight="1" x14ac:dyDescent="0.25">
      <c r="B16" s="514" t="s">
        <v>543</v>
      </c>
      <c r="C16" s="514"/>
      <c r="D16" s="514"/>
      <c r="E16" s="514"/>
      <c r="F16" s="514"/>
      <c r="G16" s="514"/>
      <c r="H16" s="277"/>
    </row>
    <row r="17" spans="2:14" ht="10.15" customHeight="1" x14ac:dyDescent="0.25">
      <c r="B17" s="514"/>
      <c r="C17" s="514"/>
      <c r="D17" s="514"/>
      <c r="E17" s="514"/>
      <c r="F17" s="514"/>
      <c r="G17" s="514"/>
      <c r="H17" s="277"/>
    </row>
    <row r="22" spans="2:14" ht="10.15" customHeight="1" x14ac:dyDescent="0.25">
      <c r="H22" s="524" t="s">
        <v>537</v>
      </c>
      <c r="I22" s="524"/>
      <c r="J22" s="524"/>
      <c r="K22" s="276"/>
      <c r="L22" s="276"/>
      <c r="M22" s="276"/>
      <c r="N22" s="276"/>
    </row>
    <row r="23" spans="2:14" x14ac:dyDescent="0.25">
      <c r="H23" s="524"/>
      <c r="I23" s="524"/>
      <c r="J23" s="524"/>
      <c r="K23" s="276"/>
      <c r="L23" s="276"/>
      <c r="M23" s="276"/>
      <c r="N23" s="276"/>
    </row>
    <row r="24" spans="2:14" x14ac:dyDescent="0.25">
      <c r="H24" s="524"/>
      <c r="I24" s="524"/>
      <c r="J24" s="524"/>
      <c r="K24" s="276"/>
      <c r="L24" s="276"/>
      <c r="M24" s="276"/>
      <c r="N24" s="276"/>
    </row>
    <row r="25" spans="2:14" x14ac:dyDescent="0.25">
      <c r="H25" s="524"/>
      <c r="I25" s="524"/>
      <c r="J25" s="524"/>
      <c r="K25" s="276"/>
      <c r="L25" s="276"/>
      <c r="M25" s="276"/>
      <c r="N25" s="276"/>
    </row>
    <row r="26" spans="2:14" x14ac:dyDescent="0.25">
      <c r="H26" s="524"/>
      <c r="I26" s="524"/>
      <c r="J26" s="524"/>
      <c r="K26" s="276"/>
      <c r="L26" s="276"/>
      <c r="M26" s="276"/>
      <c r="N26" s="276"/>
    </row>
    <row r="27" spans="2:14" x14ac:dyDescent="0.25">
      <c r="H27" s="524"/>
      <c r="I27" s="524"/>
      <c r="J27" s="524"/>
      <c r="K27" s="276"/>
      <c r="L27" s="276"/>
      <c r="M27" s="276"/>
      <c r="N27" s="276"/>
    </row>
    <row r="28" spans="2:14" x14ac:dyDescent="0.25">
      <c r="I28" s="276"/>
      <c r="J28" s="276"/>
      <c r="K28" s="276"/>
    </row>
    <row r="38" spans="2:2" x14ac:dyDescent="0.25">
      <c r="B38" s="1" t="s">
        <v>513</v>
      </c>
    </row>
  </sheetData>
  <mergeCells count="5">
    <mergeCell ref="A4:I4"/>
    <mergeCell ref="A5:I5"/>
    <mergeCell ref="A2:I2"/>
    <mergeCell ref="H22:J27"/>
    <mergeCell ref="B16:G17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I35"/>
  <sheetViews>
    <sheetView showGridLines="0" workbookViewId="0">
      <selection activeCell="A10" sqref="A10"/>
    </sheetView>
  </sheetViews>
  <sheetFormatPr baseColWidth="10" defaultColWidth="11.42578125" defaultRowHeight="11.25" x14ac:dyDescent="0.2"/>
  <cols>
    <col min="1" max="16384" width="11.42578125" style="139"/>
  </cols>
  <sheetData>
    <row r="2" spans="1:9" ht="12" x14ac:dyDescent="0.2">
      <c r="A2" s="488" t="s">
        <v>538</v>
      </c>
      <c r="B2" s="488"/>
      <c r="C2" s="488"/>
      <c r="D2" s="488"/>
      <c r="E2" s="488"/>
      <c r="F2" s="267"/>
      <c r="G2" s="267"/>
      <c r="H2" s="267"/>
      <c r="I2" s="267"/>
    </row>
    <row r="4" spans="1:9" ht="10.15" customHeight="1" x14ac:dyDescent="0.2">
      <c r="A4" s="509" t="s">
        <v>450</v>
      </c>
      <c r="B4" s="509"/>
      <c r="C4" s="509"/>
      <c r="D4" s="509"/>
      <c r="E4" s="509"/>
      <c r="F4" s="509"/>
    </row>
    <row r="5" spans="1:9" x14ac:dyDescent="0.2">
      <c r="A5" s="509" t="s">
        <v>539</v>
      </c>
      <c r="B5" s="509"/>
      <c r="C5" s="509"/>
      <c r="D5" s="509"/>
      <c r="E5" s="509"/>
      <c r="F5" s="509"/>
    </row>
    <row r="6" spans="1:9" x14ac:dyDescent="0.2">
      <c r="A6" s="224" t="s">
        <v>451</v>
      </c>
      <c r="B6" s="224">
        <v>2021</v>
      </c>
      <c r="C6" s="224">
        <v>2022</v>
      </c>
      <c r="D6" s="224">
        <v>2023</v>
      </c>
      <c r="E6" s="224">
        <v>2024</v>
      </c>
      <c r="F6" s="224">
        <v>2025</v>
      </c>
    </row>
    <row r="7" spans="1:9" x14ac:dyDescent="0.2">
      <c r="A7" s="110" t="s">
        <v>34</v>
      </c>
      <c r="B7" s="225">
        <v>16.963000000000001</v>
      </c>
      <c r="C7" s="225">
        <v>66.784999999999997</v>
      </c>
      <c r="D7" s="225">
        <v>121</v>
      </c>
      <c r="E7" s="226">
        <v>0</v>
      </c>
      <c r="F7" s="226">
        <v>80</v>
      </c>
    </row>
    <row r="8" spans="1:9" x14ac:dyDescent="0.2">
      <c r="A8" s="110" t="s">
        <v>449</v>
      </c>
      <c r="B8" s="226">
        <v>332.28940114226157</v>
      </c>
      <c r="C8" s="226">
        <v>396.44519236439993</v>
      </c>
      <c r="D8" s="226">
        <v>577.46320296162821</v>
      </c>
      <c r="E8" s="226">
        <v>685.69358269175427</v>
      </c>
      <c r="F8" s="226">
        <v>728.45992444666683</v>
      </c>
    </row>
    <row r="9" spans="1:9" x14ac:dyDescent="0.2">
      <c r="A9" s="224" t="s">
        <v>393</v>
      </c>
      <c r="B9" s="279">
        <f>SUM(B7:B8)</f>
        <v>349.25240114226159</v>
      </c>
      <c r="C9" s="279">
        <f t="shared" ref="C9:F9" si="0">SUM(C7:C8)</f>
        <v>463.23019236439995</v>
      </c>
      <c r="D9" s="279">
        <f t="shared" si="0"/>
        <v>698.46320296162821</v>
      </c>
      <c r="E9" s="279">
        <f t="shared" si="0"/>
        <v>685.69358269175427</v>
      </c>
      <c r="F9" s="279">
        <f t="shared" si="0"/>
        <v>808.45992444666683</v>
      </c>
    </row>
    <row r="10" spans="1:9" x14ac:dyDescent="0.2">
      <c r="A10" s="1" t="s">
        <v>513</v>
      </c>
    </row>
    <row r="12" spans="1:9" ht="13.5" customHeight="1" x14ac:dyDescent="0.2">
      <c r="B12" s="508" t="s">
        <v>452</v>
      </c>
      <c r="C12" s="508"/>
      <c r="D12" s="508"/>
      <c r="E12" s="508"/>
      <c r="F12" s="508"/>
      <c r="G12" s="508"/>
    </row>
    <row r="13" spans="1:9" ht="13.5" customHeight="1" x14ac:dyDescent="0.2">
      <c r="B13" s="508"/>
      <c r="C13" s="508"/>
      <c r="D13" s="508"/>
      <c r="E13" s="508"/>
      <c r="F13" s="508"/>
      <c r="G13" s="508"/>
    </row>
    <row r="35" spans="2:2" x14ac:dyDescent="0.2">
      <c r="B35" s="1" t="s">
        <v>513</v>
      </c>
    </row>
  </sheetData>
  <mergeCells count="4">
    <mergeCell ref="B12:G13"/>
    <mergeCell ref="A2:E2"/>
    <mergeCell ref="A4:F4"/>
    <mergeCell ref="A5:F5"/>
  </mergeCells>
  <pageMargins left="0.7" right="0.7" top="0.75" bottom="0.75" header="0.3" footer="0.3"/>
  <pageSetup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R53"/>
  <sheetViews>
    <sheetView showGridLines="0" workbookViewId="0">
      <pane ySplit="8" topLeftCell="A36" activePane="bottomLeft" state="frozen"/>
      <selection activeCell="G24" sqref="G24"/>
      <selection pane="bottomLeft" activeCell="A51" sqref="A51"/>
    </sheetView>
  </sheetViews>
  <sheetFormatPr baseColWidth="10" defaultColWidth="11.28515625" defaultRowHeight="11.25" x14ac:dyDescent="0.2"/>
  <cols>
    <col min="1" max="1" width="11.28515625" style="242"/>
    <col min="2" max="2" width="11.28515625" style="232"/>
    <col min="3" max="15" width="9.42578125" style="232" customWidth="1"/>
    <col min="16" max="16384" width="11.28515625" style="232"/>
  </cols>
  <sheetData>
    <row r="2" spans="1:15" ht="12" x14ac:dyDescent="0.2">
      <c r="A2" s="488" t="s">
        <v>544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</row>
    <row r="4" spans="1:15" s="190" customFormat="1" x14ac:dyDescent="0.25">
      <c r="A4" s="465" t="s">
        <v>453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</row>
    <row r="5" spans="1:15" s="190" customFormat="1" x14ac:dyDescent="0.25">
      <c r="A5" s="465">
        <v>2020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</row>
    <row r="6" spans="1:15" s="190" customFormat="1" x14ac:dyDescent="0.25">
      <c r="A6" s="526"/>
      <c r="B6" s="526"/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</row>
    <row r="7" spans="1:15" s="190" customFormat="1" x14ac:dyDescent="0.25">
      <c r="A7" s="527" t="s">
        <v>454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</row>
    <row r="8" spans="1:15" s="190" customFormat="1" x14ac:dyDescent="0.25">
      <c r="A8" s="59" t="s">
        <v>3</v>
      </c>
      <c r="B8" s="59" t="s">
        <v>4</v>
      </c>
      <c r="C8" s="59" t="s">
        <v>405</v>
      </c>
      <c r="D8" s="59" t="s">
        <v>406</v>
      </c>
      <c r="E8" s="59" t="s">
        <v>407</v>
      </c>
      <c r="F8" s="59" t="s">
        <v>408</v>
      </c>
      <c r="G8" s="59" t="s">
        <v>409</v>
      </c>
      <c r="H8" s="59" t="s">
        <v>410</v>
      </c>
      <c r="I8" s="59" t="s">
        <v>411</v>
      </c>
      <c r="J8" s="59" t="s">
        <v>412</v>
      </c>
      <c r="K8" s="59" t="s">
        <v>413</v>
      </c>
      <c r="L8" s="59" t="s">
        <v>414</v>
      </c>
      <c r="M8" s="59" t="s">
        <v>415</v>
      </c>
      <c r="N8" s="59" t="s">
        <v>416</v>
      </c>
      <c r="O8" s="59" t="s">
        <v>47</v>
      </c>
    </row>
    <row r="9" spans="1:15" s="228" customFormat="1" ht="22.5" x14ac:dyDescent="0.2">
      <c r="A9" s="227" t="s">
        <v>352</v>
      </c>
      <c r="B9" s="206" t="s">
        <v>156</v>
      </c>
      <c r="C9" s="207">
        <v>0.32575621999999999</v>
      </c>
      <c r="D9" s="207">
        <v>0.26658166</v>
      </c>
      <c r="E9" s="207">
        <v>0.14509315</v>
      </c>
      <c r="F9" s="207">
        <v>5.6229980000000006E-2</v>
      </c>
      <c r="G9" s="207">
        <v>0.10774855</v>
      </c>
      <c r="H9" s="207">
        <v>0.20522016000000001</v>
      </c>
      <c r="I9" s="207">
        <v>0.24370754</v>
      </c>
      <c r="J9" s="207">
        <v>0.24479363000000001</v>
      </c>
      <c r="K9" s="207">
        <v>0.20107001000000002</v>
      </c>
      <c r="L9" s="207">
        <v>0.20913101000000001</v>
      </c>
      <c r="M9" s="207">
        <v>0.21316554000000001</v>
      </c>
      <c r="N9" s="207">
        <v>0.25098606000000001</v>
      </c>
      <c r="O9" s="207">
        <f>+SUM(C9:N9)</f>
        <v>2.4694835099999999</v>
      </c>
    </row>
    <row r="10" spans="1:15" s="228" customFormat="1" x14ac:dyDescent="0.2">
      <c r="A10" s="227" t="s">
        <v>455</v>
      </c>
      <c r="B10" s="206" t="s">
        <v>64</v>
      </c>
      <c r="C10" s="207">
        <v>0.59718628000000007</v>
      </c>
      <c r="D10" s="207">
        <v>0.41971739000000002</v>
      </c>
      <c r="E10" s="207">
        <v>0.18903241000000001</v>
      </c>
      <c r="F10" s="207">
        <v>8.1175399999999995E-2</v>
      </c>
      <c r="G10" s="207">
        <v>0.15132819</v>
      </c>
      <c r="H10" s="207">
        <v>0.23570417999999999</v>
      </c>
      <c r="I10" s="207">
        <v>0.27833555999999998</v>
      </c>
      <c r="J10" s="207">
        <v>0.26981702000000002</v>
      </c>
      <c r="K10" s="207">
        <v>0.22473492</v>
      </c>
      <c r="L10" s="207">
        <v>0.23092444000000001</v>
      </c>
      <c r="M10" s="207">
        <v>0.24192592999999998</v>
      </c>
      <c r="N10" s="207">
        <v>0.31718531999999999</v>
      </c>
      <c r="O10" s="207">
        <f t="shared" ref="O10:O29" si="0">+SUM(C10:N10)</f>
        <v>3.2370670399999999</v>
      </c>
    </row>
    <row r="11" spans="1:15" s="228" customFormat="1" x14ac:dyDescent="0.2">
      <c r="A11" s="227" t="s">
        <v>455</v>
      </c>
      <c r="B11" s="206" t="s">
        <v>63</v>
      </c>
      <c r="C11" s="207">
        <v>1.7804801100000001</v>
      </c>
      <c r="D11" s="207">
        <v>1.30435776</v>
      </c>
      <c r="E11" s="207">
        <v>0.66888921000000001</v>
      </c>
      <c r="F11" s="207">
        <v>0.28567528000000003</v>
      </c>
      <c r="G11" s="207">
        <v>0.52029318999999996</v>
      </c>
      <c r="H11" s="207">
        <v>0.78288058999999999</v>
      </c>
      <c r="I11" s="207">
        <v>0.87432370000000004</v>
      </c>
      <c r="J11" s="207">
        <v>0.86126345000000004</v>
      </c>
      <c r="K11" s="207">
        <v>0.71755444000000002</v>
      </c>
      <c r="L11" s="207">
        <v>0.69837148000000004</v>
      </c>
      <c r="M11" s="207">
        <v>0.73242009000000008</v>
      </c>
      <c r="N11" s="207">
        <v>0.98194830000000011</v>
      </c>
      <c r="O11" s="207">
        <f t="shared" si="0"/>
        <v>10.208457600000001</v>
      </c>
    </row>
    <row r="12" spans="1:15" s="228" customFormat="1" x14ac:dyDescent="0.2">
      <c r="A12" s="227" t="s">
        <v>158</v>
      </c>
      <c r="B12" s="206" t="s">
        <v>456</v>
      </c>
      <c r="C12" s="207">
        <v>1.9404070200000001</v>
      </c>
      <c r="D12" s="207">
        <v>1.3712793300000001</v>
      </c>
      <c r="E12" s="207">
        <v>0.72062692000000006</v>
      </c>
      <c r="F12" s="207">
        <v>0.38144863000000001</v>
      </c>
      <c r="G12" s="207">
        <v>0.64155156000000002</v>
      </c>
      <c r="H12" s="207">
        <v>0.92692005</v>
      </c>
      <c r="I12" s="207">
        <v>1.00811801</v>
      </c>
      <c r="J12" s="207">
        <v>1.0608175399999999</v>
      </c>
      <c r="K12" s="207">
        <v>0.91731859999999998</v>
      </c>
      <c r="L12" s="207">
        <v>0.91165083999999996</v>
      </c>
      <c r="M12" s="207">
        <v>0.9376995600000001</v>
      </c>
      <c r="N12" s="207">
        <v>0.99810284999999999</v>
      </c>
      <c r="O12" s="207">
        <f t="shared" si="0"/>
        <v>11.815940910000002</v>
      </c>
    </row>
    <row r="13" spans="1:15" s="228" customFormat="1" x14ac:dyDescent="0.2">
      <c r="A13" s="227" t="s">
        <v>354</v>
      </c>
      <c r="B13" s="206" t="s">
        <v>73</v>
      </c>
      <c r="C13" s="207">
        <v>0.11128811999999999</v>
      </c>
      <c r="D13" s="207">
        <v>7.9655960000000012E-2</v>
      </c>
      <c r="E13" s="207">
        <v>3.2861370000000001E-2</v>
      </c>
      <c r="F13" s="207">
        <v>1.8633470000000003E-2</v>
      </c>
      <c r="G13" s="207">
        <v>3.011989E-2</v>
      </c>
      <c r="H13" s="207">
        <v>4.4469260000000004E-2</v>
      </c>
      <c r="I13" s="207">
        <v>5.0771499999999997E-2</v>
      </c>
      <c r="J13" s="207">
        <v>5.2794309999999997E-2</v>
      </c>
      <c r="K13" s="207">
        <v>4.6486720000000002E-2</v>
      </c>
      <c r="L13" s="207">
        <v>4.7834069999999999E-2</v>
      </c>
      <c r="M13" s="207">
        <v>4.7966200000000001E-2</v>
      </c>
      <c r="N13" s="207">
        <v>7.0621550000000005E-2</v>
      </c>
      <c r="O13" s="207">
        <f t="shared" si="0"/>
        <v>0.63350242000000001</v>
      </c>
    </row>
    <row r="14" spans="1:15" s="228" customFormat="1" x14ac:dyDescent="0.2">
      <c r="A14" s="227" t="s">
        <v>26</v>
      </c>
      <c r="B14" s="206" t="s">
        <v>65</v>
      </c>
      <c r="C14" s="207">
        <v>6.4792906700000001</v>
      </c>
      <c r="D14" s="207">
        <v>4.3210546900000004</v>
      </c>
      <c r="E14" s="207">
        <v>1.86777959</v>
      </c>
      <c r="F14" s="207">
        <v>0.82534275000000001</v>
      </c>
      <c r="G14" s="207">
        <v>1.58776574</v>
      </c>
      <c r="H14" s="207">
        <v>2.3424777999999997</v>
      </c>
      <c r="I14" s="207">
        <v>2.60606574</v>
      </c>
      <c r="J14" s="207">
        <v>2.6963959599999998</v>
      </c>
      <c r="K14" s="207">
        <v>2.28163669</v>
      </c>
      <c r="L14" s="207">
        <v>2.2905956700000001</v>
      </c>
      <c r="M14" s="207">
        <v>2.4877288700000002</v>
      </c>
      <c r="N14" s="207">
        <v>3.2653199399999999</v>
      </c>
      <c r="O14" s="207">
        <f t="shared" si="0"/>
        <v>33.051454110000002</v>
      </c>
    </row>
    <row r="15" spans="1:15" s="228" customFormat="1" x14ac:dyDescent="0.2">
      <c r="A15" s="227" t="s">
        <v>66</v>
      </c>
      <c r="B15" s="206" t="s">
        <v>11</v>
      </c>
      <c r="C15" s="207">
        <v>1.0601275299999999</v>
      </c>
      <c r="D15" s="207">
        <v>0.82816685000000001</v>
      </c>
      <c r="E15" s="207">
        <v>0.44650152000000004</v>
      </c>
      <c r="F15" s="207">
        <v>0.20690266000000002</v>
      </c>
      <c r="G15" s="207">
        <v>0.39384743999999999</v>
      </c>
      <c r="H15" s="207">
        <v>0.48643383000000001</v>
      </c>
      <c r="I15" s="207">
        <v>0.43970588999999999</v>
      </c>
      <c r="J15" s="207">
        <v>0.44300824</v>
      </c>
      <c r="K15" s="207">
        <v>0.38150597999999997</v>
      </c>
      <c r="L15" s="207">
        <v>0.37661761999999999</v>
      </c>
      <c r="M15" s="207">
        <v>0.38322268999999998</v>
      </c>
      <c r="N15" s="207">
        <v>0.46666740000000001</v>
      </c>
      <c r="O15" s="207">
        <f t="shared" si="0"/>
        <v>5.9127076500000006</v>
      </c>
    </row>
    <row r="16" spans="1:15" s="228" customFormat="1" ht="22.5" x14ac:dyDescent="0.2">
      <c r="A16" s="227" t="s">
        <v>352</v>
      </c>
      <c r="B16" s="206" t="s">
        <v>160</v>
      </c>
      <c r="C16" s="207">
        <v>3.049845E-2</v>
      </c>
      <c r="D16" s="207">
        <v>2.2849979999999999E-2</v>
      </c>
      <c r="E16" s="207">
        <v>1.220479E-2</v>
      </c>
      <c r="F16" s="207">
        <v>4.3526099999999998E-3</v>
      </c>
      <c r="G16" s="207">
        <v>1.126131E-2</v>
      </c>
      <c r="H16" s="207">
        <v>1.5874620000000002E-2</v>
      </c>
      <c r="I16" s="207">
        <v>1.7935700000000002E-2</v>
      </c>
      <c r="J16" s="207">
        <v>1.6102620000000002E-2</v>
      </c>
      <c r="K16" s="207">
        <v>1.4754700000000001E-2</v>
      </c>
      <c r="L16" s="207">
        <v>1.683898E-2</v>
      </c>
      <c r="M16" s="207">
        <v>1.6909790000000001E-2</v>
      </c>
      <c r="N16" s="207">
        <v>1.8348610000000001E-2</v>
      </c>
      <c r="O16" s="207">
        <f t="shared" si="0"/>
        <v>0.19793216000000002</v>
      </c>
    </row>
    <row r="17" spans="1:15" s="228" customFormat="1" ht="22.5" x14ac:dyDescent="0.2">
      <c r="A17" s="227" t="s">
        <v>352</v>
      </c>
      <c r="B17" s="206" t="s">
        <v>161</v>
      </c>
      <c r="C17" s="207">
        <v>5.2984700000000004E-3</v>
      </c>
      <c r="D17" s="207">
        <v>3.728E-3</v>
      </c>
      <c r="E17" s="207">
        <v>2.0562199999999997E-3</v>
      </c>
      <c r="F17" s="207">
        <v>1.17633E-3</v>
      </c>
      <c r="G17" s="207">
        <v>1.8613099999999999E-3</v>
      </c>
      <c r="H17" s="207">
        <v>2.5833699999999998E-3</v>
      </c>
      <c r="I17" s="207">
        <v>2.7055100000000004E-3</v>
      </c>
      <c r="J17" s="207">
        <v>2.9834200000000001E-3</v>
      </c>
      <c r="K17" s="207">
        <v>2.45444E-3</v>
      </c>
      <c r="L17" s="207">
        <v>2.3322600000000001E-3</v>
      </c>
      <c r="M17" s="207">
        <v>2.95167E-3</v>
      </c>
      <c r="N17" s="207">
        <v>3.1794200000000001E-3</v>
      </c>
      <c r="O17" s="207">
        <f t="shared" si="0"/>
        <v>3.331042E-2</v>
      </c>
    </row>
    <row r="18" spans="1:15" s="228" customFormat="1" x14ac:dyDescent="0.2">
      <c r="A18" s="528" t="s">
        <v>457</v>
      </c>
      <c r="B18" s="528"/>
      <c r="C18" s="229">
        <f>+SUM(C9:C17)</f>
        <v>12.330332869999999</v>
      </c>
      <c r="D18" s="229">
        <f t="shared" ref="D18:O18" si="1">+SUM(D9:D17)</f>
        <v>8.6173916200000011</v>
      </c>
      <c r="E18" s="229">
        <f t="shared" si="1"/>
        <v>4.0850451800000007</v>
      </c>
      <c r="F18" s="229">
        <f t="shared" si="1"/>
        <v>1.8609371100000001</v>
      </c>
      <c r="G18" s="229">
        <f t="shared" si="1"/>
        <v>3.4457771799999999</v>
      </c>
      <c r="H18" s="229">
        <f t="shared" si="1"/>
        <v>5.0425638600000005</v>
      </c>
      <c r="I18" s="229">
        <f t="shared" si="1"/>
        <v>5.5216691500000001</v>
      </c>
      <c r="J18" s="229">
        <f t="shared" si="1"/>
        <v>5.6479761899999996</v>
      </c>
      <c r="K18" s="229">
        <f t="shared" si="1"/>
        <v>4.7875165000000006</v>
      </c>
      <c r="L18" s="229">
        <f t="shared" si="1"/>
        <v>4.7842963700000007</v>
      </c>
      <c r="M18" s="229">
        <f t="shared" si="1"/>
        <v>5.0639903400000001</v>
      </c>
      <c r="N18" s="229">
        <f t="shared" si="1"/>
        <v>6.3723594500000011</v>
      </c>
      <c r="O18" s="229">
        <f t="shared" si="1"/>
        <v>67.559855819999996</v>
      </c>
    </row>
    <row r="19" spans="1:15" s="228" customFormat="1" x14ac:dyDescent="0.2">
      <c r="A19" s="227" t="s">
        <v>29</v>
      </c>
      <c r="B19" s="206">
        <v>8</v>
      </c>
      <c r="C19" s="207">
        <v>1.9871928000000001</v>
      </c>
      <c r="D19" s="207">
        <v>2.5538445200000002</v>
      </c>
      <c r="E19" s="207">
        <v>0.94279721999999999</v>
      </c>
      <c r="F19" s="207">
        <v>0.35707813999999999</v>
      </c>
      <c r="G19" s="207">
        <v>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207">
        <v>0</v>
      </c>
      <c r="N19" s="207">
        <v>0</v>
      </c>
      <c r="O19" s="207">
        <f t="shared" si="0"/>
        <v>5.8409126799999997</v>
      </c>
    </row>
    <row r="20" spans="1:15" s="228" customFormat="1" x14ac:dyDescent="0.2">
      <c r="A20" s="227" t="s">
        <v>165</v>
      </c>
      <c r="B20" s="206">
        <v>67</v>
      </c>
      <c r="C20" s="207">
        <v>0.34713404999999997</v>
      </c>
      <c r="D20" s="207">
        <v>0.17889801999999999</v>
      </c>
      <c r="E20" s="207">
        <v>3.8246189999999999E-2</v>
      </c>
      <c r="F20" s="207"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v>0</v>
      </c>
      <c r="O20" s="207">
        <f t="shared" si="0"/>
        <v>0.56427825999999992</v>
      </c>
    </row>
    <row r="21" spans="1:15" s="228" customFormat="1" x14ac:dyDescent="0.2">
      <c r="A21" s="227" t="s">
        <v>81</v>
      </c>
      <c r="B21" s="206">
        <v>95</v>
      </c>
      <c r="C21" s="207">
        <v>0.7913618</v>
      </c>
      <c r="D21" s="207">
        <v>0.61372534000000001</v>
      </c>
      <c r="E21" s="207">
        <v>0.32744350999999999</v>
      </c>
      <c r="F21" s="207">
        <v>0.12696327000000002</v>
      </c>
      <c r="G21" s="207">
        <v>8.2372900000000013E-3</v>
      </c>
      <c r="H21" s="207">
        <v>0</v>
      </c>
      <c r="I21" s="207">
        <v>0.22444151000000001</v>
      </c>
      <c r="J21" s="207">
        <v>7.1913440000000009E-2</v>
      </c>
      <c r="K21" s="207">
        <v>2.647296E-2</v>
      </c>
      <c r="L21" s="207">
        <v>0.40051328999999997</v>
      </c>
      <c r="M21" s="207">
        <v>0.21522643</v>
      </c>
      <c r="N21" s="207">
        <v>0.23606616</v>
      </c>
      <c r="O21" s="207">
        <f t="shared" si="0"/>
        <v>3.0423650000000002</v>
      </c>
    </row>
    <row r="22" spans="1:15" s="228" customFormat="1" x14ac:dyDescent="0.2">
      <c r="A22" s="227" t="s">
        <v>458</v>
      </c>
      <c r="B22" s="206" t="s">
        <v>385</v>
      </c>
      <c r="C22" s="207">
        <v>0.32316062000000001</v>
      </c>
      <c r="D22" s="207">
        <v>0.25076005000000001</v>
      </c>
      <c r="E22" s="207">
        <v>0.14121217000000003</v>
      </c>
      <c r="F22" s="207">
        <v>8.3592570000000005E-2</v>
      </c>
      <c r="G22" s="207">
        <v>0.13424513000000002</v>
      </c>
      <c r="H22" s="207">
        <v>0.16386776</v>
      </c>
      <c r="I22" s="207">
        <v>0.10268872</v>
      </c>
      <c r="J22" s="207">
        <v>0.15632542000000002</v>
      </c>
      <c r="K22" s="207">
        <v>0.14942882000000002</v>
      </c>
      <c r="L22" s="207">
        <v>3.9755539999999999E-2</v>
      </c>
      <c r="M22" s="207">
        <v>0.14436689999999999</v>
      </c>
      <c r="N22" s="207">
        <v>0.15982682999999998</v>
      </c>
      <c r="O22" s="207">
        <f t="shared" si="0"/>
        <v>1.8492305300000003</v>
      </c>
    </row>
    <row r="23" spans="1:15" s="228" customFormat="1" x14ac:dyDescent="0.2">
      <c r="A23" s="227" t="s">
        <v>27</v>
      </c>
      <c r="B23" s="206">
        <v>131</v>
      </c>
      <c r="C23" s="207">
        <v>1.0190084499999998</v>
      </c>
      <c r="D23" s="207">
        <v>0.75697133999999999</v>
      </c>
      <c r="E23" s="207">
        <v>0.37020998999999999</v>
      </c>
      <c r="F23" s="207">
        <v>0.11537578999999999</v>
      </c>
      <c r="G23" s="207">
        <v>0.24709217999999999</v>
      </c>
      <c r="H23" s="207">
        <v>0.40988722999999999</v>
      </c>
      <c r="I23" s="207">
        <v>0.44895467</v>
      </c>
      <c r="J23" s="207">
        <v>0.43675418999999999</v>
      </c>
      <c r="K23" s="207">
        <v>0.35435945000000002</v>
      </c>
      <c r="L23" s="207">
        <v>0.35461711000000001</v>
      </c>
      <c r="M23" s="207">
        <v>0.36542226</v>
      </c>
      <c r="N23" s="207">
        <v>0.42671076000000002</v>
      </c>
      <c r="O23" s="207">
        <f t="shared" si="0"/>
        <v>5.3053634199999999</v>
      </c>
    </row>
    <row r="24" spans="1:15" s="228" customFormat="1" x14ac:dyDescent="0.2">
      <c r="A24" s="227" t="s">
        <v>29</v>
      </c>
      <c r="B24" s="206">
        <v>88</v>
      </c>
      <c r="C24" s="207">
        <v>16.13101305</v>
      </c>
      <c r="D24" s="207">
        <v>14.171644460000001</v>
      </c>
      <c r="E24" s="207">
        <v>6.6049885700000006</v>
      </c>
      <c r="F24" s="207">
        <v>3.1282482699999998</v>
      </c>
      <c r="G24" s="207">
        <v>6.3791354900000004</v>
      </c>
      <c r="H24" s="207">
        <v>7.4866997300000007</v>
      </c>
      <c r="I24" s="207">
        <v>11.075747659999999</v>
      </c>
      <c r="J24" s="207">
        <v>13.77562271</v>
      </c>
      <c r="K24" s="207">
        <v>13.75598411</v>
      </c>
      <c r="L24" s="207">
        <v>14.593274259999999</v>
      </c>
      <c r="M24" s="207">
        <v>14.83834594</v>
      </c>
      <c r="N24" s="207">
        <v>17.095956809999997</v>
      </c>
      <c r="O24" s="207">
        <f t="shared" si="0"/>
        <v>139.03666106</v>
      </c>
    </row>
    <row r="25" spans="1:15" s="228" customFormat="1" x14ac:dyDescent="0.2">
      <c r="A25" s="227" t="s">
        <v>30</v>
      </c>
      <c r="B25" s="206">
        <v>57</v>
      </c>
      <c r="C25" s="207">
        <v>0.6035246700000001</v>
      </c>
      <c r="D25" s="207">
        <v>0.53244805000000006</v>
      </c>
      <c r="E25" s="207">
        <v>0.21242780999999999</v>
      </c>
      <c r="F25" s="207">
        <v>0.10595857</v>
      </c>
      <c r="G25" s="207">
        <v>0.21017664000000003</v>
      </c>
      <c r="H25" s="207">
        <v>0.10132621</v>
      </c>
      <c r="I25" s="207">
        <v>0.40975392999999999</v>
      </c>
      <c r="J25" s="207">
        <v>0.43809653000000004</v>
      </c>
      <c r="K25" s="207">
        <v>0.45547408</v>
      </c>
      <c r="L25" s="207">
        <v>0.41916554</v>
      </c>
      <c r="M25" s="207">
        <v>0.54506066000000009</v>
      </c>
      <c r="N25" s="207">
        <v>0.69161466999999999</v>
      </c>
      <c r="O25" s="207">
        <f t="shared" si="0"/>
        <v>4.7250273600000003</v>
      </c>
    </row>
    <row r="26" spans="1:15" s="228" customFormat="1" x14ac:dyDescent="0.2">
      <c r="A26" s="227" t="s">
        <v>29</v>
      </c>
      <c r="B26" s="206">
        <v>56</v>
      </c>
      <c r="C26" s="207">
        <v>8.21823266</v>
      </c>
      <c r="D26" s="207">
        <v>5.6645180000000002</v>
      </c>
      <c r="E26" s="207">
        <v>1.7840496399999999</v>
      </c>
      <c r="F26" s="207">
        <v>1.14650926</v>
      </c>
      <c r="G26" s="207">
        <v>1.92394793</v>
      </c>
      <c r="H26" s="207">
        <v>2.03739632</v>
      </c>
      <c r="I26" s="207">
        <v>3.1469429600000001</v>
      </c>
      <c r="J26" s="207">
        <v>4.4224792900000001</v>
      </c>
      <c r="K26" s="207">
        <v>4.3992295300000004</v>
      </c>
      <c r="L26" s="207">
        <v>4.0482342100000004</v>
      </c>
      <c r="M26" s="207">
        <v>5.4674516999999998</v>
      </c>
      <c r="N26" s="207">
        <v>9.6861503500000001</v>
      </c>
      <c r="O26" s="207">
        <f t="shared" si="0"/>
        <v>51.945141849999992</v>
      </c>
    </row>
    <row r="27" spans="1:15" s="228" customFormat="1" x14ac:dyDescent="0.2">
      <c r="A27" s="525" t="s">
        <v>361</v>
      </c>
      <c r="B27" s="525"/>
      <c r="C27" s="229">
        <f t="shared" ref="C27:O27" si="2">+SUM(C19:C26)</f>
        <v>29.420628099999995</v>
      </c>
      <c r="D27" s="229">
        <f t="shared" si="2"/>
        <v>24.722809780000002</v>
      </c>
      <c r="E27" s="229">
        <f t="shared" si="2"/>
        <v>10.421375099999999</v>
      </c>
      <c r="F27" s="229">
        <f t="shared" si="2"/>
        <v>5.0637258699999999</v>
      </c>
      <c r="G27" s="229">
        <f t="shared" si="2"/>
        <v>8.9028346600000017</v>
      </c>
      <c r="H27" s="229">
        <f t="shared" si="2"/>
        <v>10.199177250000002</v>
      </c>
      <c r="I27" s="229">
        <f t="shared" si="2"/>
        <v>15.408529450000001</v>
      </c>
      <c r="J27" s="229">
        <f t="shared" si="2"/>
        <v>19.301191580000001</v>
      </c>
      <c r="K27" s="229">
        <f t="shared" si="2"/>
        <v>19.140948950000002</v>
      </c>
      <c r="L27" s="229">
        <f t="shared" si="2"/>
        <v>19.85555995</v>
      </c>
      <c r="M27" s="229">
        <f t="shared" si="2"/>
        <v>21.575873889999997</v>
      </c>
      <c r="N27" s="229">
        <f t="shared" si="2"/>
        <v>28.296325579999994</v>
      </c>
      <c r="O27" s="229">
        <f t="shared" si="2"/>
        <v>212.30898016</v>
      </c>
    </row>
    <row r="28" spans="1:15" s="228" customFormat="1" ht="33.75" x14ac:dyDescent="0.2">
      <c r="A28" s="227" t="s">
        <v>418</v>
      </c>
      <c r="B28" s="206" t="s">
        <v>52</v>
      </c>
      <c r="C28" s="230">
        <v>0</v>
      </c>
      <c r="D28" s="207">
        <v>8.8007509999999997E-2</v>
      </c>
      <c r="E28" s="207">
        <v>0</v>
      </c>
      <c r="F28" s="230">
        <v>0</v>
      </c>
      <c r="G28" s="207">
        <v>0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207">
        <v>0</v>
      </c>
      <c r="N28" s="207">
        <v>0</v>
      </c>
      <c r="O28" s="207">
        <f t="shared" si="0"/>
        <v>8.8007509999999997E-2</v>
      </c>
    </row>
    <row r="29" spans="1:15" s="228" customFormat="1" ht="22.5" x14ac:dyDescent="0.2">
      <c r="A29" s="227" t="s">
        <v>444</v>
      </c>
      <c r="B29" s="206" t="s">
        <v>164</v>
      </c>
      <c r="C29" s="230">
        <v>0</v>
      </c>
      <c r="D29" s="207">
        <v>0</v>
      </c>
      <c r="E29" s="207">
        <v>0</v>
      </c>
      <c r="F29" s="230">
        <v>0</v>
      </c>
      <c r="G29" s="207">
        <v>0</v>
      </c>
      <c r="H29" s="207">
        <v>0</v>
      </c>
      <c r="I29" s="207">
        <v>0</v>
      </c>
      <c r="J29" s="207">
        <v>0</v>
      </c>
      <c r="K29" s="207">
        <v>0</v>
      </c>
      <c r="L29" s="207">
        <v>0</v>
      </c>
      <c r="M29" s="207">
        <v>0</v>
      </c>
      <c r="N29" s="207">
        <v>0</v>
      </c>
      <c r="O29" s="207">
        <f t="shared" si="0"/>
        <v>0</v>
      </c>
    </row>
    <row r="30" spans="1:15" x14ac:dyDescent="0.2">
      <c r="A30" s="530" t="s">
        <v>364</v>
      </c>
      <c r="B30" s="530"/>
      <c r="C30" s="231">
        <f>+C28+C29</f>
        <v>0</v>
      </c>
      <c r="D30" s="231">
        <f t="shared" ref="D30:O30" si="3">+D28+D29</f>
        <v>8.8007509999999997E-2</v>
      </c>
      <c r="E30" s="231">
        <f t="shared" si="3"/>
        <v>0</v>
      </c>
      <c r="F30" s="231">
        <f t="shared" si="3"/>
        <v>0</v>
      </c>
      <c r="G30" s="231">
        <f t="shared" si="3"/>
        <v>0</v>
      </c>
      <c r="H30" s="231">
        <f t="shared" si="3"/>
        <v>0</v>
      </c>
      <c r="I30" s="231">
        <f t="shared" si="3"/>
        <v>0</v>
      </c>
      <c r="J30" s="231">
        <f t="shared" si="3"/>
        <v>0</v>
      </c>
      <c r="K30" s="231">
        <f t="shared" si="3"/>
        <v>0</v>
      </c>
      <c r="L30" s="231">
        <f t="shared" si="3"/>
        <v>0</v>
      </c>
      <c r="M30" s="231">
        <f t="shared" si="3"/>
        <v>0</v>
      </c>
      <c r="N30" s="231">
        <f t="shared" si="3"/>
        <v>0</v>
      </c>
      <c r="O30" s="231">
        <f t="shared" si="3"/>
        <v>8.8007509999999997E-2</v>
      </c>
    </row>
    <row r="31" spans="1:15" x14ac:dyDescent="0.2">
      <c r="A31" s="443" t="s">
        <v>459</v>
      </c>
      <c r="B31" s="443"/>
      <c r="C31" s="233">
        <f t="shared" ref="C31:N31" si="4">+C18+C27+C30</f>
        <v>41.750960969999994</v>
      </c>
      <c r="D31" s="233">
        <f t="shared" si="4"/>
        <v>33.428208910000002</v>
      </c>
      <c r="E31" s="233">
        <f t="shared" si="4"/>
        <v>14.50642028</v>
      </c>
      <c r="F31" s="233">
        <f t="shared" si="4"/>
        <v>6.9246629799999999</v>
      </c>
      <c r="G31" s="233">
        <f t="shared" si="4"/>
        <v>12.348611840000002</v>
      </c>
      <c r="H31" s="233">
        <f t="shared" si="4"/>
        <v>15.241741110000003</v>
      </c>
      <c r="I31" s="233">
        <f t="shared" si="4"/>
        <v>20.930198600000001</v>
      </c>
      <c r="J31" s="233">
        <f t="shared" si="4"/>
        <v>24.949167770000003</v>
      </c>
      <c r="K31" s="233">
        <f t="shared" si="4"/>
        <v>23.928465450000004</v>
      </c>
      <c r="L31" s="233">
        <f t="shared" si="4"/>
        <v>24.63985632</v>
      </c>
      <c r="M31" s="233">
        <f t="shared" si="4"/>
        <v>26.639864229999997</v>
      </c>
      <c r="N31" s="233">
        <f t="shared" si="4"/>
        <v>34.668685029999992</v>
      </c>
      <c r="O31" s="233">
        <f>+O18+O27+O30</f>
        <v>279.95684348999998</v>
      </c>
    </row>
    <row r="32" spans="1:15" x14ac:dyDescent="0.2">
      <c r="A32" s="234"/>
      <c r="B32" s="235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</row>
    <row r="33" spans="1:15" s="237" customFormat="1" x14ac:dyDescent="0.2">
      <c r="A33" s="531" t="s">
        <v>460</v>
      </c>
      <c r="B33" s="531"/>
      <c r="C33" s="531"/>
      <c r="D33" s="531"/>
      <c r="E33" s="531"/>
      <c r="F33" s="531"/>
      <c r="G33" s="531"/>
      <c r="H33" s="531"/>
      <c r="I33" s="531"/>
      <c r="J33" s="531"/>
      <c r="K33" s="531"/>
      <c r="L33" s="531"/>
      <c r="M33" s="531"/>
      <c r="N33" s="531"/>
      <c r="O33" s="531"/>
    </row>
    <row r="34" spans="1:15" x14ac:dyDescent="0.2">
      <c r="A34" s="21" t="s">
        <v>3</v>
      </c>
      <c r="B34" s="108" t="s">
        <v>4</v>
      </c>
      <c r="C34" s="108" t="s">
        <v>405</v>
      </c>
      <c r="D34" s="108" t="s">
        <v>406</v>
      </c>
      <c r="E34" s="108" t="s">
        <v>407</v>
      </c>
      <c r="F34" s="108" t="s">
        <v>408</v>
      </c>
      <c r="G34" s="108" t="s">
        <v>409</v>
      </c>
      <c r="H34" s="108" t="s">
        <v>410</v>
      </c>
      <c r="I34" s="108" t="s">
        <v>411</v>
      </c>
      <c r="J34" s="108" t="s">
        <v>412</v>
      </c>
      <c r="K34" s="108" t="s">
        <v>413</v>
      </c>
      <c r="L34" s="108" t="s">
        <v>414</v>
      </c>
      <c r="M34" s="108" t="s">
        <v>415</v>
      </c>
      <c r="N34" s="108" t="s">
        <v>416</v>
      </c>
      <c r="O34" s="238" t="s">
        <v>393</v>
      </c>
    </row>
    <row r="35" spans="1:15" s="228" customFormat="1" x14ac:dyDescent="0.2">
      <c r="A35" s="227" t="s">
        <v>158</v>
      </c>
      <c r="B35" s="239" t="s">
        <v>456</v>
      </c>
      <c r="C35" s="207">
        <v>5.8963339999999996E-2</v>
      </c>
      <c r="D35" s="207">
        <v>7.0359190000000002E-2</v>
      </c>
      <c r="E35" s="207">
        <v>7.599678E-2</v>
      </c>
      <c r="F35" s="207">
        <v>4.2071330000000004E-2</v>
      </c>
      <c r="G35" s="207">
        <v>2.8173939999999998E-2</v>
      </c>
      <c r="H35" s="207">
        <v>4.2252330000000005E-2</v>
      </c>
      <c r="I35" s="207">
        <v>6.2767779999999995E-2</v>
      </c>
      <c r="J35" s="207">
        <v>6.322643E-2</v>
      </c>
      <c r="K35" s="207">
        <v>7.0528729999999998E-2</v>
      </c>
      <c r="L35" s="207">
        <v>5.4858739999999996E-2</v>
      </c>
      <c r="M35" s="207">
        <v>6.3910370000000008E-2</v>
      </c>
      <c r="N35" s="207">
        <v>4.5024710000000003E-2</v>
      </c>
      <c r="O35" s="207">
        <f>+SUM(C35:N35)</f>
        <v>0.67813367000000002</v>
      </c>
    </row>
    <row r="36" spans="1:15" s="228" customFormat="1" x14ac:dyDescent="0.2">
      <c r="A36" s="227" t="s">
        <v>26</v>
      </c>
      <c r="B36" s="239" t="s">
        <v>65</v>
      </c>
      <c r="C36" s="207">
        <v>0.27411981000000002</v>
      </c>
      <c r="D36" s="207">
        <v>0.25176061</v>
      </c>
      <c r="E36" s="207">
        <v>0.25870235000000003</v>
      </c>
      <c r="F36" s="207">
        <v>0.19132093</v>
      </c>
      <c r="G36" s="207">
        <v>0.2344996</v>
      </c>
      <c r="H36" s="207">
        <v>0.27184446000000001</v>
      </c>
      <c r="I36" s="207">
        <v>0.28744579999999997</v>
      </c>
      <c r="J36" s="207">
        <v>0.28710808000000004</v>
      </c>
      <c r="K36" s="207">
        <v>0.26884202000000001</v>
      </c>
      <c r="L36" s="207">
        <v>0.27943424</v>
      </c>
      <c r="M36" s="207">
        <v>0.26704442</v>
      </c>
      <c r="N36" s="207">
        <v>0.27472754999999999</v>
      </c>
      <c r="O36" s="207">
        <f>+SUM(C36:N36)</f>
        <v>3.1468498700000005</v>
      </c>
    </row>
    <row r="37" spans="1:15" s="228" customFormat="1" ht="22.5" x14ac:dyDescent="0.2">
      <c r="A37" s="227" t="s">
        <v>352</v>
      </c>
      <c r="B37" s="206" t="s">
        <v>156</v>
      </c>
      <c r="C37" s="207">
        <v>2.5778220000000001E-2</v>
      </c>
      <c r="D37" s="207">
        <v>2.9533240000000002E-2</v>
      </c>
      <c r="E37" s="207">
        <v>1.9485279999999997E-2</v>
      </c>
      <c r="F37" s="207">
        <v>7.24962E-3</v>
      </c>
      <c r="G37" s="207">
        <v>9.8026299999999997E-3</v>
      </c>
      <c r="H37" s="207">
        <v>1.96384E-2</v>
      </c>
      <c r="I37" s="207">
        <v>2.7099669999999999E-2</v>
      </c>
      <c r="J37" s="207">
        <v>2.2061529999999999E-2</v>
      </c>
      <c r="K37" s="207">
        <v>1.947751E-2</v>
      </c>
      <c r="L37" s="207">
        <v>2.749534E-2</v>
      </c>
      <c r="M37" s="207">
        <v>2.4560830000000002E-2</v>
      </c>
      <c r="N37" s="207">
        <v>2.2242140000000001E-2</v>
      </c>
      <c r="O37" s="207">
        <f>+SUM(C37:N37)</f>
        <v>0.25442440999999999</v>
      </c>
    </row>
    <row r="38" spans="1:15" s="228" customFormat="1" x14ac:dyDescent="0.2">
      <c r="A38" s="227" t="s">
        <v>66</v>
      </c>
      <c r="B38" s="239" t="s">
        <v>11</v>
      </c>
      <c r="C38" s="207">
        <v>0.43645677999999999</v>
      </c>
      <c r="D38" s="207">
        <v>0.26657081999999999</v>
      </c>
      <c r="E38" s="207">
        <v>0.14303477000000001</v>
      </c>
      <c r="F38" s="207">
        <v>0.12881269000000001</v>
      </c>
      <c r="G38" s="207">
        <v>0.15383186999999998</v>
      </c>
      <c r="H38" s="207">
        <v>0.18508695000000003</v>
      </c>
      <c r="I38" s="207">
        <v>0.23802125999999998</v>
      </c>
      <c r="J38" s="207">
        <v>0.2116103</v>
      </c>
      <c r="K38" s="207">
        <v>0.22803920999999999</v>
      </c>
      <c r="L38" s="207">
        <v>0.23146247</v>
      </c>
      <c r="M38" s="207">
        <v>0.19247773000000001</v>
      </c>
      <c r="N38" s="207">
        <v>0.20284562</v>
      </c>
      <c r="O38" s="207">
        <f>+SUM(C38:N38)</f>
        <v>2.61825047</v>
      </c>
    </row>
    <row r="39" spans="1:15" s="228" customFormat="1" x14ac:dyDescent="0.2">
      <c r="A39" s="525" t="s">
        <v>457</v>
      </c>
      <c r="B39" s="525"/>
      <c r="C39" s="229">
        <f>+SUM(C35:C38)</f>
        <v>0.79531814999999995</v>
      </c>
      <c r="D39" s="229">
        <f t="shared" ref="D39:O39" si="5">+SUM(D35:D38)</f>
        <v>0.61822386000000007</v>
      </c>
      <c r="E39" s="229">
        <f t="shared" si="5"/>
        <v>0.49721917999999998</v>
      </c>
      <c r="F39" s="229">
        <f t="shared" si="5"/>
        <v>0.36945457000000004</v>
      </c>
      <c r="G39" s="229">
        <f t="shared" si="5"/>
        <v>0.42630803999999994</v>
      </c>
      <c r="H39" s="229">
        <f t="shared" si="5"/>
        <v>0.51882214000000004</v>
      </c>
      <c r="I39" s="229">
        <f t="shared" si="5"/>
        <v>0.61533450999999995</v>
      </c>
      <c r="J39" s="229">
        <f t="shared" si="5"/>
        <v>0.58400634000000007</v>
      </c>
      <c r="K39" s="229">
        <f t="shared" si="5"/>
        <v>0.58688746999999997</v>
      </c>
      <c r="L39" s="229">
        <f t="shared" si="5"/>
        <v>0.59325079000000003</v>
      </c>
      <c r="M39" s="229">
        <f t="shared" si="5"/>
        <v>0.54799335000000005</v>
      </c>
      <c r="N39" s="229">
        <f t="shared" si="5"/>
        <v>0.54484002000000009</v>
      </c>
      <c r="O39" s="229">
        <f t="shared" si="5"/>
        <v>6.6976584200000016</v>
      </c>
    </row>
    <row r="40" spans="1:15" s="228" customFormat="1" ht="9.6" customHeight="1" x14ac:dyDescent="0.2">
      <c r="A40" s="227" t="s">
        <v>458</v>
      </c>
      <c r="B40" s="239" t="s">
        <v>163</v>
      </c>
      <c r="C40" s="207">
        <v>0.15260681000000001</v>
      </c>
      <c r="D40" s="207">
        <v>0.17872588</v>
      </c>
      <c r="E40" s="207">
        <v>1.1333069999999999E-2</v>
      </c>
      <c r="F40" s="207">
        <v>3.5309199999999999E-3</v>
      </c>
      <c r="G40" s="207">
        <v>3.1398899999999998E-3</v>
      </c>
      <c r="H40" s="207">
        <v>4.6052599999999999E-3</v>
      </c>
      <c r="I40" s="207">
        <v>1.60373E-3</v>
      </c>
      <c r="J40" s="207">
        <v>2.17592E-3</v>
      </c>
      <c r="K40" s="207">
        <v>4.3669220000000002E-2</v>
      </c>
      <c r="L40" s="207">
        <v>0.22977180999999999</v>
      </c>
      <c r="M40" s="207">
        <v>0.87627405000000003</v>
      </c>
      <c r="N40" s="207">
        <v>4.805011E-2</v>
      </c>
      <c r="O40" s="207">
        <f t="shared" ref="O40:O46" si="6">+SUM(C40:N40)</f>
        <v>1.5554866699999998</v>
      </c>
    </row>
    <row r="41" spans="1:15" s="228" customFormat="1" x14ac:dyDescent="0.2">
      <c r="A41" s="227" t="s">
        <v>29</v>
      </c>
      <c r="B41" s="239">
        <v>88</v>
      </c>
      <c r="C41" s="207">
        <v>13.531465279999999</v>
      </c>
      <c r="D41" s="207">
        <v>13.826987320000001</v>
      </c>
      <c r="E41" s="207">
        <v>9.2783294600000001</v>
      </c>
      <c r="F41" s="207">
        <v>3.48684219</v>
      </c>
      <c r="G41" s="207">
        <v>6.1110540000000002</v>
      </c>
      <c r="H41" s="207">
        <v>11.898106</v>
      </c>
      <c r="I41" s="207">
        <v>14.78387058</v>
      </c>
      <c r="J41" s="207">
        <v>16.1683421</v>
      </c>
      <c r="K41" s="207">
        <v>16.324125169999999</v>
      </c>
      <c r="L41" s="207">
        <v>17.11571395</v>
      </c>
      <c r="M41" s="207">
        <v>18.843106410000001</v>
      </c>
      <c r="N41" s="207">
        <v>15.892217199999999</v>
      </c>
      <c r="O41" s="207">
        <f t="shared" si="6"/>
        <v>157.26015966</v>
      </c>
    </row>
    <row r="42" spans="1:15" s="228" customFormat="1" x14ac:dyDescent="0.2">
      <c r="A42" s="227" t="s">
        <v>29</v>
      </c>
      <c r="B42" s="239" t="s">
        <v>461</v>
      </c>
      <c r="C42" s="207">
        <v>0.39796128000000003</v>
      </c>
      <c r="D42" s="207">
        <v>0.20468514000000002</v>
      </c>
      <c r="E42" s="207">
        <v>0.2145369</v>
      </c>
      <c r="F42" s="207">
        <v>0.12595659000000001</v>
      </c>
      <c r="G42" s="207">
        <v>0.11470445</v>
      </c>
      <c r="H42" s="207">
        <v>8.6882759999999989E-2</v>
      </c>
      <c r="I42" s="207">
        <v>0.14856701999999999</v>
      </c>
      <c r="J42" s="207">
        <v>0.28089628000000005</v>
      </c>
      <c r="K42" s="207">
        <v>0.3252797</v>
      </c>
      <c r="L42" s="207">
        <v>0.81048493999999993</v>
      </c>
      <c r="M42" s="207">
        <v>1.0761995099999999</v>
      </c>
      <c r="N42" s="207">
        <v>3.0452173899999999</v>
      </c>
      <c r="O42" s="207">
        <f t="shared" si="6"/>
        <v>6.8313719600000002</v>
      </c>
    </row>
    <row r="43" spans="1:15" s="228" customFormat="1" x14ac:dyDescent="0.2">
      <c r="A43" s="227" t="s">
        <v>29</v>
      </c>
      <c r="B43" s="239" t="s">
        <v>462</v>
      </c>
      <c r="C43" s="207">
        <v>5.6723379999999997E-2</v>
      </c>
      <c r="D43" s="207">
        <v>5.895475E-2</v>
      </c>
      <c r="E43" s="207">
        <v>5.3867400000000003E-2</v>
      </c>
      <c r="F43" s="207">
        <v>6.391347E-2</v>
      </c>
      <c r="G43" s="207">
        <v>5.5080810000000001E-2</v>
      </c>
      <c r="H43" s="207">
        <v>2.617742E-2</v>
      </c>
      <c r="I43" s="207">
        <v>6.2720669999999992E-2</v>
      </c>
      <c r="J43" s="207">
        <v>5.6706309999999996E-2</v>
      </c>
      <c r="K43" s="207">
        <v>5.7242540000000001E-2</v>
      </c>
      <c r="L43" s="207">
        <v>5.1741500000000003E-2</v>
      </c>
      <c r="M43" s="207">
        <v>6.0103179999999999E-2</v>
      </c>
      <c r="N43" s="207">
        <v>6.0259779999999999E-2</v>
      </c>
      <c r="O43" s="207">
        <f t="shared" si="6"/>
        <v>0.66349121</v>
      </c>
    </row>
    <row r="44" spans="1:15" s="228" customFormat="1" x14ac:dyDescent="0.2">
      <c r="A44" s="227" t="s">
        <v>30</v>
      </c>
      <c r="B44" s="239">
        <v>57</v>
      </c>
      <c r="C44" s="207">
        <v>0.36982974000000002</v>
      </c>
      <c r="D44" s="207">
        <v>0.37541142999999999</v>
      </c>
      <c r="E44" s="207">
        <v>0.32190624000000001</v>
      </c>
      <c r="F44" s="207">
        <v>0.33315662000000001</v>
      </c>
      <c r="G44" s="207">
        <v>0.30336565999999998</v>
      </c>
      <c r="H44" s="207">
        <v>0.14449748999999998</v>
      </c>
      <c r="I44" s="207">
        <v>0.38041190999999996</v>
      </c>
      <c r="J44" s="207">
        <v>0.32298836999999997</v>
      </c>
      <c r="K44" s="207">
        <v>0.33024839</v>
      </c>
      <c r="L44" s="207">
        <v>0.66406317000000004</v>
      </c>
      <c r="M44" s="207">
        <v>0.96206972000000002</v>
      </c>
      <c r="N44" s="207">
        <v>2.73829477</v>
      </c>
      <c r="O44" s="207">
        <f t="shared" si="6"/>
        <v>7.2462435099999993</v>
      </c>
    </row>
    <row r="45" spans="1:15" s="228" customFormat="1" x14ac:dyDescent="0.2">
      <c r="A45" s="227" t="s">
        <v>29</v>
      </c>
      <c r="B45" s="239">
        <v>56</v>
      </c>
      <c r="C45" s="207">
        <v>0.36350023999999997</v>
      </c>
      <c r="D45" s="207">
        <v>0.34104052000000001</v>
      </c>
      <c r="E45" s="207">
        <v>0.28765217999999998</v>
      </c>
      <c r="F45" s="207">
        <v>0.35585566999999996</v>
      </c>
      <c r="G45" s="207">
        <v>0.34515404</v>
      </c>
      <c r="H45" s="207">
        <v>0.16141549999999999</v>
      </c>
      <c r="I45" s="207">
        <v>0.39650481999999998</v>
      </c>
      <c r="J45" s="207">
        <v>0.34795048000000001</v>
      </c>
      <c r="K45" s="207">
        <v>0.34378048</v>
      </c>
      <c r="L45" s="207">
        <v>0.29803484000000002</v>
      </c>
      <c r="M45" s="207">
        <v>0.35326478</v>
      </c>
      <c r="N45" s="207">
        <v>0.41173831</v>
      </c>
      <c r="O45" s="207">
        <f t="shared" si="6"/>
        <v>4.0058918600000002</v>
      </c>
    </row>
    <row r="46" spans="1:15" s="228" customFormat="1" ht="22.5" x14ac:dyDescent="0.2">
      <c r="A46" s="227" t="s">
        <v>29</v>
      </c>
      <c r="B46" s="239" t="s">
        <v>463</v>
      </c>
      <c r="C46" s="207">
        <v>2.6074046800000001</v>
      </c>
      <c r="D46" s="207">
        <v>1.3617306499999999</v>
      </c>
      <c r="E46" s="207">
        <v>1.3606861799999999</v>
      </c>
      <c r="F46" s="207">
        <v>0.83694261000000003</v>
      </c>
      <c r="G46" s="207">
        <v>0.72665685999999996</v>
      </c>
      <c r="H46" s="207">
        <v>0.38428882000000003</v>
      </c>
      <c r="I46" s="207">
        <v>1.09831721</v>
      </c>
      <c r="J46" s="207">
        <v>1.7652827600000001</v>
      </c>
      <c r="K46" s="207">
        <v>2.1584220899999997</v>
      </c>
      <c r="L46" s="207">
        <v>4.9831490899999995</v>
      </c>
      <c r="M46" s="207">
        <v>7.1347550000000002</v>
      </c>
      <c r="N46" s="207">
        <v>22.284780820000002</v>
      </c>
      <c r="O46" s="207">
        <f t="shared" si="6"/>
        <v>46.702416769999999</v>
      </c>
    </row>
    <row r="47" spans="1:15" x14ac:dyDescent="0.2">
      <c r="A47" s="532" t="s">
        <v>361</v>
      </c>
      <c r="B47" s="532"/>
      <c r="C47" s="231">
        <f>+SUM(C40:C46)</f>
        <v>17.479491410000001</v>
      </c>
      <c r="D47" s="231">
        <f t="shared" ref="D47:O47" si="7">+SUM(D40:D46)</f>
        <v>16.347535690000001</v>
      </c>
      <c r="E47" s="231">
        <f t="shared" si="7"/>
        <v>11.52831143</v>
      </c>
      <c r="F47" s="231">
        <f t="shared" si="7"/>
        <v>5.2061980700000001</v>
      </c>
      <c r="G47" s="231">
        <f t="shared" si="7"/>
        <v>7.6591557099999994</v>
      </c>
      <c r="H47" s="231">
        <f t="shared" si="7"/>
        <v>12.70597325</v>
      </c>
      <c r="I47" s="231">
        <f t="shared" si="7"/>
        <v>16.871995939999998</v>
      </c>
      <c r="J47" s="231">
        <f t="shared" si="7"/>
        <v>18.944342220000003</v>
      </c>
      <c r="K47" s="231">
        <f t="shared" si="7"/>
        <v>19.58276759</v>
      </c>
      <c r="L47" s="231">
        <f t="shared" si="7"/>
        <v>24.152959299999992</v>
      </c>
      <c r="M47" s="231">
        <f t="shared" si="7"/>
        <v>29.305772649999994</v>
      </c>
      <c r="N47" s="231">
        <f t="shared" si="7"/>
        <v>44.480558380000005</v>
      </c>
      <c r="O47" s="231">
        <f t="shared" si="7"/>
        <v>224.26506164</v>
      </c>
    </row>
    <row r="48" spans="1:15" x14ac:dyDescent="0.2">
      <c r="A48" s="443" t="s">
        <v>464</v>
      </c>
      <c r="B48" s="443"/>
      <c r="C48" s="233">
        <f>+C39+C47</f>
        <v>18.274809560000001</v>
      </c>
      <c r="D48" s="233">
        <f t="shared" ref="D48:O48" si="8">+D39+D47</f>
        <v>16.965759550000001</v>
      </c>
      <c r="E48" s="233">
        <f t="shared" si="8"/>
        <v>12.025530610000001</v>
      </c>
      <c r="F48" s="233">
        <f t="shared" si="8"/>
        <v>5.5756526400000004</v>
      </c>
      <c r="G48" s="233">
        <f t="shared" si="8"/>
        <v>8.0854637499999988</v>
      </c>
      <c r="H48" s="233">
        <f t="shared" si="8"/>
        <v>13.224795389999999</v>
      </c>
      <c r="I48" s="233">
        <f t="shared" si="8"/>
        <v>17.487330449999998</v>
      </c>
      <c r="J48" s="233">
        <f t="shared" si="8"/>
        <v>19.528348560000001</v>
      </c>
      <c r="K48" s="233">
        <f t="shared" si="8"/>
        <v>20.16965506</v>
      </c>
      <c r="L48" s="233">
        <f t="shared" si="8"/>
        <v>24.746210089999991</v>
      </c>
      <c r="M48" s="233">
        <f t="shared" si="8"/>
        <v>29.853765999999993</v>
      </c>
      <c r="N48" s="233">
        <f t="shared" si="8"/>
        <v>45.025398400000007</v>
      </c>
      <c r="O48" s="233">
        <f t="shared" si="8"/>
        <v>230.96272006000001</v>
      </c>
    </row>
    <row r="49" spans="1:18" x14ac:dyDescent="0.2">
      <c r="A49" s="234"/>
      <c r="B49" s="235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</row>
    <row r="50" spans="1:18" s="241" customFormat="1" ht="12" x14ac:dyDescent="0.2">
      <c r="A50" s="529" t="s">
        <v>465</v>
      </c>
      <c r="B50" s="529"/>
      <c r="C50" s="240">
        <f>+C31+C48</f>
        <v>60.025770529999996</v>
      </c>
      <c r="D50" s="240">
        <f t="shared" ref="D50:N50" si="9">+D31+D48</f>
        <v>50.393968460000004</v>
      </c>
      <c r="E50" s="240">
        <f t="shared" si="9"/>
        <v>26.531950890000001</v>
      </c>
      <c r="F50" s="240">
        <f t="shared" si="9"/>
        <v>12.50031562</v>
      </c>
      <c r="G50" s="240">
        <f t="shared" si="9"/>
        <v>20.434075589999999</v>
      </c>
      <c r="H50" s="240">
        <f t="shared" si="9"/>
        <v>28.466536500000004</v>
      </c>
      <c r="I50" s="240">
        <f t="shared" si="9"/>
        <v>38.417529049999999</v>
      </c>
      <c r="J50" s="240">
        <f t="shared" si="9"/>
        <v>44.47751633</v>
      </c>
      <c r="K50" s="240">
        <f t="shared" si="9"/>
        <v>44.098120510000001</v>
      </c>
      <c r="L50" s="240">
        <f t="shared" si="9"/>
        <v>49.386066409999991</v>
      </c>
      <c r="M50" s="240">
        <f t="shared" si="9"/>
        <v>56.493630229999994</v>
      </c>
      <c r="N50" s="240">
        <f t="shared" si="9"/>
        <v>79.694083430000006</v>
      </c>
      <c r="O50" s="240">
        <f>+O31+O48</f>
        <v>510.91956355000002</v>
      </c>
    </row>
    <row r="51" spans="1:18" x14ac:dyDescent="0.2">
      <c r="A51" s="1" t="s">
        <v>513</v>
      </c>
    </row>
    <row r="53" spans="1:18" x14ac:dyDescent="0.2">
      <c r="C53" s="280">
        <f>+C50*1000000</f>
        <v>60025770.529999994</v>
      </c>
      <c r="D53" s="280">
        <f t="shared" ref="D53:O53" si="10">+D50*1000000</f>
        <v>50393968.460000001</v>
      </c>
      <c r="E53" s="280">
        <f t="shared" si="10"/>
        <v>26531950.890000001</v>
      </c>
      <c r="F53" s="280">
        <f t="shared" si="10"/>
        <v>12500315.620000001</v>
      </c>
      <c r="G53" s="280">
        <f t="shared" si="10"/>
        <v>20434075.59</v>
      </c>
      <c r="H53" s="280">
        <f t="shared" si="10"/>
        <v>28466536.500000004</v>
      </c>
      <c r="I53" s="280">
        <f t="shared" si="10"/>
        <v>38417529.049999997</v>
      </c>
      <c r="J53" s="280">
        <f t="shared" si="10"/>
        <v>44477516.329999998</v>
      </c>
      <c r="K53" s="280">
        <f t="shared" si="10"/>
        <v>44098120.509999998</v>
      </c>
      <c r="L53" s="280">
        <f t="shared" si="10"/>
        <v>49386066.409999989</v>
      </c>
      <c r="M53" s="280">
        <f t="shared" si="10"/>
        <v>56493630.229999997</v>
      </c>
      <c r="N53" s="280">
        <f t="shared" si="10"/>
        <v>79694083.430000007</v>
      </c>
      <c r="O53" s="280">
        <f t="shared" si="10"/>
        <v>510919563.55000001</v>
      </c>
      <c r="P53" s="280"/>
      <c r="Q53" s="280"/>
      <c r="R53" s="280"/>
    </row>
  </sheetData>
  <mergeCells count="14">
    <mergeCell ref="A50:B50"/>
    <mergeCell ref="A30:B30"/>
    <mergeCell ref="A31:B31"/>
    <mergeCell ref="A33:O33"/>
    <mergeCell ref="A39:B39"/>
    <mergeCell ref="A47:B47"/>
    <mergeCell ref="A48:B48"/>
    <mergeCell ref="A27:B27"/>
    <mergeCell ref="A2:O2"/>
    <mergeCell ref="A4:O4"/>
    <mergeCell ref="A5:O5"/>
    <mergeCell ref="A6:O6"/>
    <mergeCell ref="A7:O7"/>
    <mergeCell ref="A18:B18"/>
  </mergeCells>
  <pageMargins left="0.7" right="0.7" top="0.75" bottom="0.75" header="0.3" footer="0.3"/>
  <pageSetup scale="62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O18"/>
  <sheetViews>
    <sheetView showGridLines="0" zoomScaleNormal="100" workbookViewId="0">
      <selection activeCell="A16" sqref="A16"/>
    </sheetView>
  </sheetViews>
  <sheetFormatPr baseColWidth="10" defaultColWidth="11.42578125" defaultRowHeight="11.25" x14ac:dyDescent="0.25"/>
  <cols>
    <col min="1" max="1" width="11.42578125" style="1"/>
    <col min="2" max="2" width="9" style="2" customWidth="1"/>
    <col min="3" max="8" width="9" style="3" customWidth="1"/>
    <col min="9" max="10" width="9.28515625" style="3" customWidth="1"/>
    <col min="11" max="16384" width="11.42578125" style="3"/>
  </cols>
  <sheetData>
    <row r="2" spans="1:15" ht="12" x14ac:dyDescent="0.2">
      <c r="A2" s="488" t="s">
        <v>545</v>
      </c>
      <c r="B2" s="488"/>
      <c r="C2" s="488"/>
      <c r="D2" s="488"/>
      <c r="E2" s="488"/>
      <c r="F2" s="488"/>
      <c r="G2" s="488"/>
      <c r="H2" s="488"/>
      <c r="I2" s="488"/>
      <c r="J2" s="488"/>
      <c r="K2" s="267"/>
      <c r="L2" s="267"/>
      <c r="M2" s="267"/>
      <c r="N2" s="267"/>
      <c r="O2" s="267"/>
    </row>
    <row r="4" spans="1:15" s="2" customFormat="1" ht="11.25" customHeight="1" x14ac:dyDescent="0.25">
      <c r="A4" s="465" t="s">
        <v>466</v>
      </c>
      <c r="B4" s="465"/>
      <c r="C4" s="465"/>
      <c r="D4" s="465"/>
      <c r="E4" s="465"/>
      <c r="F4" s="465"/>
      <c r="G4" s="465"/>
      <c r="H4" s="465"/>
      <c r="I4" s="465"/>
      <c r="J4" s="465"/>
    </row>
    <row r="5" spans="1:15" s="2" customFormat="1" x14ac:dyDescent="0.25">
      <c r="A5" s="465" t="s">
        <v>467</v>
      </c>
      <c r="B5" s="465"/>
      <c r="C5" s="465"/>
      <c r="D5" s="465"/>
      <c r="E5" s="465"/>
      <c r="F5" s="465"/>
      <c r="G5" s="465"/>
      <c r="H5" s="465"/>
      <c r="I5" s="465"/>
      <c r="J5" s="243"/>
    </row>
    <row r="6" spans="1:15" s="2" customFormat="1" x14ac:dyDescent="0.25">
      <c r="A6" s="21" t="s">
        <v>3</v>
      </c>
      <c r="B6" s="59" t="s">
        <v>4</v>
      </c>
      <c r="C6" s="59">
        <v>2013</v>
      </c>
      <c r="D6" s="59">
        <v>2014</v>
      </c>
      <c r="E6" s="59">
        <v>2015</v>
      </c>
      <c r="F6" s="59">
        <v>2016</v>
      </c>
      <c r="G6" s="59">
        <v>2017</v>
      </c>
      <c r="H6" s="59">
        <v>2018</v>
      </c>
      <c r="I6" s="59">
        <v>2019</v>
      </c>
      <c r="J6" s="59">
        <v>2020</v>
      </c>
    </row>
    <row r="7" spans="1:15" x14ac:dyDescent="0.25">
      <c r="A7" s="533" t="s">
        <v>468</v>
      </c>
      <c r="B7" s="206" t="s">
        <v>154</v>
      </c>
      <c r="C7" s="207">
        <f>6.122317+46.140054</f>
        <v>52.262371000000002</v>
      </c>
      <c r="D7" s="207">
        <f>9.196803+46.495055</f>
        <v>55.691857999999996</v>
      </c>
      <c r="E7" s="207">
        <f>9.378788+21.145378</f>
        <v>30.524166000000001</v>
      </c>
      <c r="F7" s="207">
        <f>7.995627+12.957691</f>
        <v>20.953317999999999</v>
      </c>
      <c r="G7" s="207">
        <f>7.262084+13.317518</f>
        <v>20.579602000000001</v>
      </c>
      <c r="H7" s="207">
        <f>6.541876+14.853936</f>
        <v>21.395811999999999</v>
      </c>
      <c r="I7" s="207">
        <f>4.875978+12.142321</f>
        <v>17.018298999999999</v>
      </c>
      <c r="J7" s="207">
        <v>11.066266519999999</v>
      </c>
    </row>
    <row r="8" spans="1:15" x14ac:dyDescent="0.25">
      <c r="A8" s="533"/>
      <c r="B8" s="206" t="s">
        <v>157</v>
      </c>
      <c r="C8" s="207">
        <v>3.2388590000000002</v>
      </c>
      <c r="D8" s="207">
        <v>3.0607799999999998</v>
      </c>
      <c r="E8" s="207">
        <v>2.376169</v>
      </c>
      <c r="F8" s="207">
        <v>1.5414239999999999</v>
      </c>
      <c r="G8" s="207">
        <v>1.4436800000000001</v>
      </c>
      <c r="H8" s="207">
        <v>2.079742</v>
      </c>
      <c r="I8" s="207">
        <v>1.8321419999999999</v>
      </c>
      <c r="J8" s="207">
        <v>1.11278232</v>
      </c>
    </row>
    <row r="9" spans="1:15" x14ac:dyDescent="0.25">
      <c r="A9" s="533"/>
      <c r="B9" s="206" t="s">
        <v>73</v>
      </c>
      <c r="C9" s="207">
        <v>2.4873409999999998</v>
      </c>
      <c r="D9" s="207">
        <v>2.5571069999999998</v>
      </c>
      <c r="E9" s="207">
        <v>0.81720199999999998</v>
      </c>
      <c r="F9" s="207">
        <v>0</v>
      </c>
      <c r="G9" s="207">
        <v>0</v>
      </c>
      <c r="H9" s="207">
        <v>0</v>
      </c>
      <c r="I9" s="207">
        <v>0</v>
      </c>
      <c r="J9" s="207">
        <v>0</v>
      </c>
    </row>
    <row r="10" spans="1:15" x14ac:dyDescent="0.25">
      <c r="A10" s="534" t="s">
        <v>457</v>
      </c>
      <c r="B10" s="534"/>
      <c r="C10" s="229">
        <f>+SUM(C7:C9)</f>
        <v>57.988571</v>
      </c>
      <c r="D10" s="229">
        <f t="shared" ref="D10:J10" si="0">+SUM(D7:D9)</f>
        <v>61.309744999999999</v>
      </c>
      <c r="E10" s="229">
        <f t="shared" si="0"/>
        <v>33.717537</v>
      </c>
      <c r="F10" s="229">
        <f t="shared" si="0"/>
        <v>22.494741999999999</v>
      </c>
      <c r="G10" s="229">
        <f t="shared" si="0"/>
        <v>22.023282000000002</v>
      </c>
      <c r="H10" s="229">
        <f t="shared" si="0"/>
        <v>23.475553999999999</v>
      </c>
      <c r="I10" s="229">
        <f t="shared" si="0"/>
        <v>18.850441</v>
      </c>
      <c r="J10" s="229">
        <f t="shared" si="0"/>
        <v>12.17904884</v>
      </c>
    </row>
    <row r="11" spans="1:15" x14ac:dyDescent="0.25">
      <c r="A11" s="206" t="s">
        <v>147</v>
      </c>
      <c r="B11" s="206">
        <v>192</v>
      </c>
      <c r="C11" s="207">
        <v>0</v>
      </c>
      <c r="D11" s="207">
        <v>0</v>
      </c>
      <c r="E11" s="207">
        <v>18.897117999999999</v>
      </c>
      <c r="F11" s="207">
        <v>5.497865</v>
      </c>
      <c r="G11" s="207">
        <v>41.553438999999997</v>
      </c>
      <c r="H11" s="207">
        <v>124.380662</v>
      </c>
      <c r="I11" s="207">
        <v>101.484639</v>
      </c>
      <c r="J11" s="207">
        <v>18.022139670000001</v>
      </c>
    </row>
    <row r="12" spans="1:15" x14ac:dyDescent="0.25">
      <c r="A12" s="534" t="s">
        <v>361</v>
      </c>
      <c r="B12" s="534"/>
      <c r="C12" s="229">
        <f>+C11</f>
        <v>0</v>
      </c>
      <c r="D12" s="229">
        <f t="shared" ref="D12:J12" si="1">+D11</f>
        <v>0</v>
      </c>
      <c r="E12" s="229">
        <f t="shared" si="1"/>
        <v>18.897117999999999</v>
      </c>
      <c r="F12" s="229">
        <f t="shared" si="1"/>
        <v>5.497865</v>
      </c>
      <c r="G12" s="229">
        <f t="shared" si="1"/>
        <v>41.553438999999997</v>
      </c>
      <c r="H12" s="229">
        <f t="shared" si="1"/>
        <v>124.380662</v>
      </c>
      <c r="I12" s="229">
        <f t="shared" si="1"/>
        <v>101.484639</v>
      </c>
      <c r="J12" s="229">
        <f t="shared" si="1"/>
        <v>18.022139670000001</v>
      </c>
    </row>
    <row r="13" spans="1:15" x14ac:dyDescent="0.25">
      <c r="A13" s="206" t="s">
        <v>469</v>
      </c>
      <c r="B13" s="206" t="s">
        <v>76</v>
      </c>
      <c r="C13" s="207">
        <f>13.014749+26.327136+330.455923</f>
        <v>369.79780799999997</v>
      </c>
      <c r="D13" s="207">
        <f>18.764151+24.982028+317.005887</f>
        <v>360.75206599999996</v>
      </c>
      <c r="E13" s="207">
        <f>9.83065+15.724013+144.536863</f>
        <v>170.09152600000002</v>
      </c>
      <c r="F13" s="207">
        <f>10.10401+14.065544+102.111665</f>
        <v>126.28121899999999</v>
      </c>
      <c r="G13" s="207">
        <f>12.939253+15.4548+124.596238</f>
        <v>152.99029100000001</v>
      </c>
      <c r="H13" s="207">
        <f>17.67365+18.210681+166.248316</f>
        <v>202.13264699999999</v>
      </c>
      <c r="I13" s="207">
        <f>18.560817+14.46423+140.883127</f>
        <v>173.908174</v>
      </c>
      <c r="J13" s="207">
        <v>104.03513664</v>
      </c>
    </row>
    <row r="14" spans="1:15" x14ac:dyDescent="0.25">
      <c r="A14" s="439" t="s">
        <v>364</v>
      </c>
      <c r="B14" s="439"/>
      <c r="C14" s="231">
        <f>+C13</f>
        <v>369.79780799999997</v>
      </c>
      <c r="D14" s="231">
        <f t="shared" ref="D14:J14" si="2">+D13</f>
        <v>360.75206599999996</v>
      </c>
      <c r="E14" s="231">
        <f t="shared" si="2"/>
        <v>170.09152600000002</v>
      </c>
      <c r="F14" s="231">
        <f t="shared" si="2"/>
        <v>126.28121899999999</v>
      </c>
      <c r="G14" s="231">
        <f t="shared" si="2"/>
        <v>152.99029100000001</v>
      </c>
      <c r="H14" s="231">
        <f t="shared" si="2"/>
        <v>202.13264699999999</v>
      </c>
      <c r="I14" s="231">
        <f t="shared" si="2"/>
        <v>173.908174</v>
      </c>
      <c r="J14" s="231">
        <f t="shared" si="2"/>
        <v>104.03513664</v>
      </c>
    </row>
    <row r="15" spans="1:15" x14ac:dyDescent="0.25">
      <c r="A15" s="432" t="s">
        <v>470</v>
      </c>
      <c r="B15" s="432"/>
      <c r="C15" s="233">
        <f>+C10+C12+C14</f>
        <v>427.78637899999995</v>
      </c>
      <c r="D15" s="233">
        <f t="shared" ref="D15:J15" si="3">+D10+D12+D14</f>
        <v>422.06181099999998</v>
      </c>
      <c r="E15" s="233">
        <f t="shared" si="3"/>
        <v>222.70618100000002</v>
      </c>
      <c r="F15" s="233">
        <f t="shared" si="3"/>
        <v>154.27382599999999</v>
      </c>
      <c r="G15" s="233">
        <f t="shared" si="3"/>
        <v>216.56701200000001</v>
      </c>
      <c r="H15" s="233">
        <f t="shared" si="3"/>
        <v>349.98886299999998</v>
      </c>
      <c r="I15" s="233">
        <f t="shared" si="3"/>
        <v>294.24325399999998</v>
      </c>
      <c r="J15" s="233">
        <f t="shared" si="3"/>
        <v>134.23632515</v>
      </c>
    </row>
    <row r="16" spans="1:15" ht="13.15" customHeight="1" x14ac:dyDescent="0.25">
      <c r="A16" s="1" t="s">
        <v>513</v>
      </c>
    </row>
    <row r="18" spans="10:10" ht="12" x14ac:dyDescent="0.25">
      <c r="J18" s="281"/>
    </row>
  </sheetData>
  <mergeCells count="8">
    <mergeCell ref="A2:J2"/>
    <mergeCell ref="A15:B15"/>
    <mergeCell ref="A4:J4"/>
    <mergeCell ref="A5:I5"/>
    <mergeCell ref="A7:A9"/>
    <mergeCell ref="A10:B10"/>
    <mergeCell ref="A12:B12"/>
    <mergeCell ref="A14:B14"/>
  </mergeCells>
  <pageMargins left="0.7" right="0.7" top="0.75" bottom="0.75" header="0.3" footer="0.3"/>
  <pageSetup scale="65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J39"/>
  <sheetViews>
    <sheetView showGridLines="0" topLeftCell="A7" workbookViewId="0">
      <selection activeCell="B39" sqref="B39"/>
    </sheetView>
  </sheetViews>
  <sheetFormatPr baseColWidth="10" defaultColWidth="11.42578125" defaultRowHeight="11.25" x14ac:dyDescent="0.25"/>
  <cols>
    <col min="1" max="1" width="11.42578125" style="1"/>
    <col min="2" max="8" width="10.42578125" style="3" customWidth="1"/>
    <col min="9" max="9" width="10.28515625" style="3" customWidth="1"/>
    <col min="10" max="10" width="10.42578125" style="3" customWidth="1"/>
    <col min="11" max="16384" width="11.42578125" style="3"/>
  </cols>
  <sheetData>
    <row r="2" spans="1:10" ht="12" x14ac:dyDescent="0.2">
      <c r="A2" s="488" t="s">
        <v>546</v>
      </c>
      <c r="B2" s="488"/>
      <c r="C2" s="488"/>
      <c r="D2" s="488"/>
      <c r="E2" s="488"/>
      <c r="F2" s="488"/>
      <c r="G2" s="488"/>
      <c r="H2" s="488"/>
      <c r="I2" s="488"/>
      <c r="J2" s="488"/>
    </row>
    <row r="4" spans="1:10" s="2" customFormat="1" ht="11.25" customHeight="1" x14ac:dyDescent="0.25">
      <c r="A4" s="465" t="s">
        <v>471</v>
      </c>
      <c r="B4" s="465"/>
      <c r="C4" s="465"/>
      <c r="D4" s="465"/>
      <c r="E4" s="465"/>
      <c r="F4" s="465"/>
      <c r="G4" s="465"/>
      <c r="H4" s="465"/>
      <c r="I4" s="465"/>
      <c r="J4" s="3"/>
    </row>
    <row r="5" spans="1:10" s="2" customFormat="1" x14ac:dyDescent="0.25">
      <c r="A5" s="465">
        <v>2020</v>
      </c>
      <c r="B5" s="465"/>
      <c r="C5" s="465"/>
      <c r="D5" s="465"/>
      <c r="E5" s="465"/>
      <c r="F5" s="465"/>
      <c r="G5" s="465"/>
      <c r="H5" s="465"/>
      <c r="I5" s="465"/>
      <c r="J5" s="3"/>
    </row>
    <row r="6" spans="1:10" s="2" customFormat="1" x14ac:dyDescent="0.25">
      <c r="A6" s="21"/>
      <c r="B6" s="59">
        <v>2013</v>
      </c>
      <c r="C6" s="59">
        <v>2014</v>
      </c>
      <c r="D6" s="59">
        <v>2015</v>
      </c>
      <c r="E6" s="59">
        <v>2016</v>
      </c>
      <c r="F6" s="59">
        <v>2017</v>
      </c>
      <c r="G6" s="59">
        <v>2018</v>
      </c>
      <c r="H6" s="59">
        <v>2019</v>
      </c>
      <c r="I6" s="59">
        <v>2020</v>
      </c>
      <c r="J6" s="3"/>
    </row>
    <row r="7" spans="1:10" x14ac:dyDescent="0.25">
      <c r="A7" s="9" t="s">
        <v>390</v>
      </c>
      <c r="B7" s="221">
        <v>654.72</v>
      </c>
      <c r="C7" s="221">
        <v>584.16</v>
      </c>
      <c r="D7" s="221">
        <v>207.23</v>
      </c>
      <c r="E7" s="221">
        <v>120.19</v>
      </c>
      <c r="F7" s="221">
        <v>171.31</v>
      </c>
      <c r="G7" s="221">
        <v>284.69</v>
      </c>
      <c r="H7" s="221">
        <f>199.86+58.74</f>
        <v>258.60000000000002</v>
      </c>
      <c r="I7" s="282">
        <v>105.57092299999999</v>
      </c>
    </row>
    <row r="8" spans="1:10" ht="22.5" x14ac:dyDescent="0.25">
      <c r="A8" s="9" t="s">
        <v>391</v>
      </c>
      <c r="B8" s="221">
        <v>910.23</v>
      </c>
      <c r="C8" s="221">
        <v>806.05</v>
      </c>
      <c r="D8" s="221">
        <v>306.13</v>
      </c>
      <c r="E8" s="221">
        <v>283.14</v>
      </c>
      <c r="F8" s="221">
        <v>393.41</v>
      </c>
      <c r="G8" s="221">
        <v>441.52</v>
      </c>
      <c r="H8" s="221">
        <f>302.39+2.75</f>
        <v>305.14</v>
      </c>
      <c r="I8" s="282">
        <v>200.08723900000001</v>
      </c>
    </row>
    <row r="9" spans="1:10" x14ac:dyDescent="0.25">
      <c r="A9" s="9" t="s">
        <v>472</v>
      </c>
      <c r="B9" s="221">
        <v>455.99</v>
      </c>
      <c r="C9" s="221">
        <v>300.42</v>
      </c>
      <c r="D9" s="221">
        <v>255.6</v>
      </c>
      <c r="E9" s="221">
        <v>256.89999999999998</v>
      </c>
      <c r="F9" s="221">
        <v>264.11</v>
      </c>
      <c r="G9" s="221">
        <v>366.73</v>
      </c>
      <c r="H9" s="221">
        <f>271.1+2.35</f>
        <v>273.45000000000005</v>
      </c>
      <c r="I9" s="282">
        <v>232.627836</v>
      </c>
    </row>
    <row r="10" spans="1:10" x14ac:dyDescent="0.25">
      <c r="A10" s="9" t="s">
        <v>473</v>
      </c>
      <c r="B10" s="221">
        <v>0</v>
      </c>
      <c r="C10" s="221">
        <v>0</v>
      </c>
      <c r="D10" s="221">
        <v>1.4E-3</v>
      </c>
      <c r="E10" s="221">
        <v>2.46E-2</v>
      </c>
      <c r="F10" s="221">
        <v>0</v>
      </c>
      <c r="G10" s="221">
        <v>0</v>
      </c>
      <c r="H10" s="221">
        <v>0</v>
      </c>
      <c r="I10" s="221">
        <v>0</v>
      </c>
    </row>
    <row r="11" spans="1:10" ht="22.5" x14ac:dyDescent="0.25">
      <c r="A11" s="21" t="s">
        <v>474</v>
      </c>
      <c r="B11" s="233">
        <v>2020.94</v>
      </c>
      <c r="C11" s="233">
        <v>1690.63</v>
      </c>
      <c r="D11" s="233">
        <v>768.96140000000003</v>
      </c>
      <c r="E11" s="233">
        <v>660.25459999999998</v>
      </c>
      <c r="F11" s="233">
        <v>828.83</v>
      </c>
      <c r="G11" s="233">
        <v>1092.93</v>
      </c>
      <c r="H11" s="233">
        <f>+SUM(H7:H10)</f>
        <v>837.19</v>
      </c>
      <c r="I11" s="233">
        <f>+SUM(I7:I10)</f>
        <v>538.28599800000006</v>
      </c>
      <c r="J11" s="244">
        <f>+I11/H11-1</f>
        <v>-0.35703245619273993</v>
      </c>
    </row>
    <row r="12" spans="1:10" ht="13.9" customHeight="1" x14ac:dyDescent="0.25">
      <c r="A12" s="1" t="s">
        <v>513</v>
      </c>
      <c r="I12" s="271"/>
    </row>
    <row r="15" spans="1:10" ht="15.6" customHeight="1" x14ac:dyDescent="0.25">
      <c r="B15" s="508" t="s">
        <v>475</v>
      </c>
      <c r="C15" s="508"/>
      <c r="D15" s="508"/>
      <c r="E15" s="508"/>
      <c r="F15" s="508"/>
      <c r="G15" s="508"/>
      <c r="H15" s="508"/>
    </row>
    <row r="16" spans="1:10" ht="11.45" customHeight="1" x14ac:dyDescent="0.25">
      <c r="B16" s="508"/>
      <c r="C16" s="508"/>
      <c r="D16" s="508"/>
      <c r="E16" s="508"/>
      <c r="F16" s="508"/>
      <c r="G16" s="508"/>
      <c r="H16" s="508"/>
    </row>
    <row r="39" spans="2:2" x14ac:dyDescent="0.25">
      <c r="B39" s="1" t="s">
        <v>513</v>
      </c>
    </row>
  </sheetData>
  <mergeCells count="4">
    <mergeCell ref="A5:I5"/>
    <mergeCell ref="A2:J2"/>
    <mergeCell ref="A4:I4"/>
    <mergeCell ref="B15:H16"/>
  </mergeCells>
  <pageMargins left="0.7" right="0.7" top="0.75" bottom="0.75" header="0.3" footer="0.3"/>
  <pageSetup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J36"/>
  <sheetViews>
    <sheetView showGridLines="0" zoomScaleNormal="100" workbookViewId="0">
      <selection activeCell="I20" sqref="I20"/>
    </sheetView>
  </sheetViews>
  <sheetFormatPr baseColWidth="10" defaultColWidth="11.42578125" defaultRowHeight="15" x14ac:dyDescent="0.2"/>
  <cols>
    <col min="1" max="1" width="12.28515625" style="6" customWidth="1"/>
    <col min="2" max="2" width="36.28515625" style="1" customWidth="1"/>
    <col min="3" max="3" width="11.5703125" style="3" bestFit="1" customWidth="1"/>
    <col min="4" max="4" width="15.7109375" style="3" customWidth="1"/>
    <col min="5" max="16384" width="11.42578125" style="246"/>
  </cols>
  <sheetData>
    <row r="2" spans="1:10" x14ac:dyDescent="0.2">
      <c r="A2" s="488" t="s">
        <v>548</v>
      </c>
      <c r="B2" s="488"/>
      <c r="C2" s="488"/>
      <c r="D2" s="488"/>
      <c r="E2" s="267"/>
      <c r="F2" s="267"/>
      <c r="G2" s="267"/>
      <c r="H2" s="267"/>
      <c r="I2" s="267"/>
      <c r="J2" s="267"/>
    </row>
    <row r="4" spans="1:10" s="245" customFormat="1" ht="14.45" customHeight="1" x14ac:dyDescent="0.25">
      <c r="A4" s="465" t="s">
        <v>476</v>
      </c>
      <c r="B4" s="465"/>
      <c r="C4" s="465"/>
      <c r="D4" s="465"/>
    </row>
    <row r="5" spans="1:10" s="245" customFormat="1" ht="33.75" x14ac:dyDescent="0.25">
      <c r="A5" s="59" t="s">
        <v>547</v>
      </c>
      <c r="B5" s="59" t="s">
        <v>477</v>
      </c>
      <c r="C5" s="59" t="s">
        <v>478</v>
      </c>
      <c r="D5" s="118" t="s">
        <v>549</v>
      </c>
    </row>
    <row r="6" spans="1:10" ht="14.45" customHeight="1" x14ac:dyDescent="0.2">
      <c r="A6" s="283" t="s">
        <v>479</v>
      </c>
      <c r="B6" s="9" t="s">
        <v>480</v>
      </c>
      <c r="C6" s="52"/>
      <c r="D6" s="191">
        <v>6100000</v>
      </c>
    </row>
    <row r="7" spans="1:10" ht="14.45" customHeight="1" x14ac:dyDescent="0.25">
      <c r="A7" s="536" t="s">
        <v>481</v>
      </c>
      <c r="B7" s="9" t="s">
        <v>482</v>
      </c>
      <c r="C7" s="52">
        <v>52</v>
      </c>
      <c r="D7" s="191">
        <v>26901217.480000015</v>
      </c>
    </row>
    <row r="8" spans="1:10" x14ac:dyDescent="0.25">
      <c r="A8" s="536"/>
      <c r="B8" s="9" t="s">
        <v>483</v>
      </c>
      <c r="C8" s="52">
        <v>5</v>
      </c>
      <c r="D8" s="191">
        <v>2586655.5300000003</v>
      </c>
    </row>
    <row r="9" spans="1:10" ht="14.45" customHeight="1" x14ac:dyDescent="0.25">
      <c r="A9" s="536"/>
      <c r="B9" s="9" t="s">
        <v>484</v>
      </c>
      <c r="C9" s="52">
        <v>3</v>
      </c>
      <c r="D9" s="191">
        <v>1551993.3299999998</v>
      </c>
    </row>
    <row r="10" spans="1:10" ht="14.45" customHeight="1" x14ac:dyDescent="0.25">
      <c r="A10" s="536"/>
      <c r="B10" s="9" t="s">
        <v>485</v>
      </c>
      <c r="C10" s="52">
        <v>40</v>
      </c>
      <c r="D10" s="191">
        <v>20693244.25</v>
      </c>
    </row>
    <row r="11" spans="1:10" ht="14.45" customHeight="1" x14ac:dyDescent="0.25">
      <c r="A11" s="536"/>
      <c r="B11" s="284" t="s">
        <v>486</v>
      </c>
      <c r="C11" s="285">
        <v>100</v>
      </c>
      <c r="D11" s="286">
        <f>+SUM(D6:D10)</f>
        <v>57833110.590000011</v>
      </c>
    </row>
    <row r="12" spans="1:10" ht="14.45" customHeight="1" x14ac:dyDescent="0.2">
      <c r="A12" s="247" t="s">
        <v>487</v>
      </c>
      <c r="B12" s="119" t="s">
        <v>488</v>
      </c>
      <c r="C12" s="120" t="s">
        <v>489</v>
      </c>
      <c r="D12" s="282">
        <v>8394837.7299999986</v>
      </c>
    </row>
    <row r="13" spans="1:10" x14ac:dyDescent="0.25">
      <c r="A13" s="535" t="s">
        <v>490</v>
      </c>
      <c r="B13" s="119" t="s">
        <v>491</v>
      </c>
      <c r="C13" s="120" t="s">
        <v>492</v>
      </c>
      <c r="D13" s="282">
        <v>156991.04000000001</v>
      </c>
    </row>
    <row r="14" spans="1:10" x14ac:dyDescent="0.25">
      <c r="A14" s="535"/>
      <c r="B14" s="119" t="s">
        <v>493</v>
      </c>
      <c r="C14" s="120">
        <v>2.5</v>
      </c>
      <c r="D14" s="282">
        <v>484106.19999999995</v>
      </c>
    </row>
    <row r="15" spans="1:10" x14ac:dyDescent="0.25">
      <c r="A15" s="535"/>
      <c r="B15" s="119" t="s">
        <v>494</v>
      </c>
      <c r="C15" s="120">
        <v>2.5</v>
      </c>
      <c r="D15" s="282">
        <v>484106.19999999995</v>
      </c>
    </row>
    <row r="16" spans="1:10" ht="14.45" customHeight="1" x14ac:dyDescent="0.25">
      <c r="A16" s="535"/>
      <c r="B16" s="119" t="s">
        <v>484</v>
      </c>
      <c r="C16" s="287" t="s">
        <v>495</v>
      </c>
      <c r="D16" s="282">
        <v>528597.1100000001</v>
      </c>
    </row>
    <row r="17" spans="1:4" ht="14.45" customHeight="1" x14ac:dyDescent="0.25">
      <c r="A17" s="535"/>
      <c r="B17" s="119" t="s">
        <v>485</v>
      </c>
      <c r="C17" s="120" t="s">
        <v>496</v>
      </c>
      <c r="D17" s="282">
        <v>9315609.5999999978</v>
      </c>
    </row>
    <row r="18" spans="1:4" ht="14.45" customHeight="1" x14ac:dyDescent="0.25">
      <c r="A18" s="535"/>
      <c r="B18" s="248" t="s">
        <v>497</v>
      </c>
      <c r="C18" s="249"/>
      <c r="D18" s="250">
        <f>+SUM(D12:D17)</f>
        <v>19364247.879999995</v>
      </c>
    </row>
    <row r="19" spans="1:4" ht="14.45" customHeight="1" x14ac:dyDescent="0.2">
      <c r="A19" s="283" t="s">
        <v>498</v>
      </c>
      <c r="B19" s="9" t="s">
        <v>482</v>
      </c>
      <c r="C19" s="52">
        <v>20</v>
      </c>
      <c r="D19" s="191">
        <v>51892032.630000003</v>
      </c>
    </row>
    <row r="20" spans="1:4" x14ac:dyDescent="0.25">
      <c r="A20" s="536" t="s">
        <v>499</v>
      </c>
      <c r="B20" s="9" t="s">
        <v>500</v>
      </c>
      <c r="C20" s="52">
        <v>2.5</v>
      </c>
      <c r="D20" s="191">
        <v>6486504.0900000008</v>
      </c>
    </row>
    <row r="21" spans="1:4" x14ac:dyDescent="0.25">
      <c r="A21" s="536"/>
      <c r="B21" s="9" t="s">
        <v>501</v>
      </c>
      <c r="C21" s="52">
        <v>2.5</v>
      </c>
      <c r="D21" s="191">
        <v>6486504.0900000008</v>
      </c>
    </row>
    <row r="22" spans="1:4" ht="14.45" customHeight="1" x14ac:dyDescent="0.25">
      <c r="A22" s="536"/>
      <c r="B22" s="9" t="s">
        <v>502</v>
      </c>
      <c r="C22" s="52">
        <v>5</v>
      </c>
      <c r="D22" s="191">
        <v>12973008.17</v>
      </c>
    </row>
    <row r="23" spans="1:4" ht="14.45" customHeight="1" x14ac:dyDescent="0.25">
      <c r="A23" s="536"/>
      <c r="B23" s="9" t="s">
        <v>485</v>
      </c>
      <c r="C23" s="52">
        <v>70</v>
      </c>
      <c r="D23" s="191">
        <v>181622114.26999998</v>
      </c>
    </row>
    <row r="24" spans="1:4" ht="14.45" customHeight="1" x14ac:dyDescent="0.25">
      <c r="A24" s="536"/>
      <c r="B24" s="284" t="s">
        <v>503</v>
      </c>
      <c r="C24" s="285">
        <v>100</v>
      </c>
      <c r="D24" s="286">
        <f>+SUM(D19:D23)</f>
        <v>259460163.25</v>
      </c>
    </row>
    <row r="25" spans="1:4" ht="14.45" customHeight="1" x14ac:dyDescent="0.2">
      <c r="A25" s="247" t="s">
        <v>504</v>
      </c>
      <c r="B25" s="119" t="s">
        <v>482</v>
      </c>
      <c r="C25" s="120">
        <v>20</v>
      </c>
      <c r="D25" s="288">
        <v>13377716.689999999</v>
      </c>
    </row>
    <row r="26" spans="1:4" ht="14.45" customHeight="1" x14ac:dyDescent="0.25">
      <c r="A26" s="535" t="s">
        <v>505</v>
      </c>
      <c r="B26" s="119" t="s">
        <v>506</v>
      </c>
      <c r="C26" s="120">
        <v>5</v>
      </c>
      <c r="D26" s="288">
        <v>3292208.7200000007</v>
      </c>
    </row>
    <row r="27" spans="1:4" ht="14.45" customHeight="1" x14ac:dyDescent="0.25">
      <c r="A27" s="535"/>
      <c r="B27" s="119" t="s">
        <v>502</v>
      </c>
      <c r="C27" s="120">
        <v>5</v>
      </c>
      <c r="D27" s="288">
        <v>3292208.7200000007</v>
      </c>
    </row>
    <row r="28" spans="1:4" ht="14.45" customHeight="1" x14ac:dyDescent="0.25">
      <c r="A28" s="535"/>
      <c r="B28" s="119" t="s">
        <v>485</v>
      </c>
      <c r="C28" s="120">
        <v>70</v>
      </c>
      <c r="D28" s="288">
        <v>45882039.870000005</v>
      </c>
    </row>
    <row r="29" spans="1:4" ht="14.45" customHeight="1" x14ac:dyDescent="0.25">
      <c r="A29" s="535"/>
      <c r="B29" s="248" t="s">
        <v>507</v>
      </c>
      <c r="C29" s="53"/>
      <c r="D29" s="250">
        <f>+SUM(D25:D28)</f>
        <v>65844174.000000007</v>
      </c>
    </row>
    <row r="30" spans="1:4" ht="16.899999999999999" customHeight="1" x14ac:dyDescent="0.25">
      <c r="A30" s="537" t="s">
        <v>508</v>
      </c>
      <c r="B30" s="9" t="s">
        <v>485</v>
      </c>
      <c r="C30" s="52">
        <v>100</v>
      </c>
      <c r="D30" s="191">
        <v>11948022.560000001</v>
      </c>
    </row>
    <row r="31" spans="1:4" ht="16.899999999999999" customHeight="1" x14ac:dyDescent="0.25">
      <c r="A31" s="537"/>
      <c r="B31" s="251" t="s">
        <v>509</v>
      </c>
      <c r="C31" s="252">
        <v>100</v>
      </c>
      <c r="D31" s="253">
        <f>+D30</f>
        <v>11948022.560000001</v>
      </c>
    </row>
    <row r="32" spans="1:4" ht="14.45" customHeight="1" x14ac:dyDescent="0.2">
      <c r="A32" s="247" t="s">
        <v>510</v>
      </c>
      <c r="B32" s="119" t="s">
        <v>482</v>
      </c>
      <c r="C32" s="120">
        <v>25</v>
      </c>
      <c r="D32" s="288">
        <v>184348193.91</v>
      </c>
    </row>
    <row r="33" spans="1:4" ht="14.45" customHeight="1" x14ac:dyDescent="0.25">
      <c r="A33" s="535" t="s">
        <v>511</v>
      </c>
      <c r="B33" s="119" t="s">
        <v>485</v>
      </c>
      <c r="C33" s="120">
        <v>75</v>
      </c>
      <c r="D33" s="288">
        <v>553044581.68000007</v>
      </c>
    </row>
    <row r="34" spans="1:4" ht="14.45" customHeight="1" x14ac:dyDescent="0.25">
      <c r="A34" s="535"/>
      <c r="B34" s="248" t="s">
        <v>512</v>
      </c>
      <c r="C34" s="249">
        <v>100</v>
      </c>
      <c r="D34" s="250">
        <f>+SUM(D32:D33)</f>
        <v>737392775.59000003</v>
      </c>
    </row>
    <row r="35" spans="1:4" ht="14.45" customHeight="1" x14ac:dyDescent="0.25">
      <c r="A35" s="529" t="s">
        <v>166</v>
      </c>
      <c r="B35" s="529"/>
      <c r="C35" s="529"/>
      <c r="D35" s="254">
        <f>SUM(D11+D18+D24+D29+D31+D34)</f>
        <v>1151842493.8700001</v>
      </c>
    </row>
    <row r="36" spans="1:4" x14ac:dyDescent="0.25">
      <c r="A36" s="1" t="s">
        <v>513</v>
      </c>
    </row>
  </sheetData>
  <mergeCells count="9">
    <mergeCell ref="A2:D2"/>
    <mergeCell ref="A33:A34"/>
    <mergeCell ref="A35:C35"/>
    <mergeCell ref="A4:D4"/>
    <mergeCell ref="A7:A11"/>
    <mergeCell ref="A13:A18"/>
    <mergeCell ref="A20:A24"/>
    <mergeCell ref="A26:A29"/>
    <mergeCell ref="A30:A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U46"/>
  <sheetViews>
    <sheetView showGridLines="0" topLeftCell="K21" workbookViewId="0">
      <selection activeCell="M41" sqref="M41"/>
    </sheetView>
  </sheetViews>
  <sheetFormatPr baseColWidth="10" defaultRowHeight="15" x14ac:dyDescent="0.25"/>
  <cols>
    <col min="1" max="1" width="17.28515625" style="3" customWidth="1"/>
    <col min="2" max="2" width="9.5703125" style="2" customWidth="1"/>
    <col min="3" max="11" width="7.7109375" style="3" customWidth="1"/>
    <col min="13" max="20" width="8.85546875" customWidth="1"/>
  </cols>
  <sheetData>
    <row r="2" spans="1:14" x14ac:dyDescent="0.25">
      <c r="A2" s="440" t="s">
        <v>49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</row>
    <row r="4" spans="1:14" s="48" customFormat="1" ht="14.45" customHeight="1" x14ac:dyDescent="0.25">
      <c r="A4" s="441" t="s">
        <v>50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</row>
    <row r="5" spans="1:14" s="48" customFormat="1" ht="14.45" customHeight="1" x14ac:dyDescent="0.25">
      <c r="A5" s="441" t="s">
        <v>2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</row>
    <row r="6" spans="1:14" s="48" customFormat="1" ht="14.45" customHeight="1" x14ac:dyDescent="0.25">
      <c r="A6" s="7" t="s">
        <v>3</v>
      </c>
      <c r="B6" s="7" t="s">
        <v>4</v>
      </c>
      <c r="C6" s="7">
        <v>2012</v>
      </c>
      <c r="D6" s="7">
        <v>2013</v>
      </c>
      <c r="E6" s="7">
        <v>2014</v>
      </c>
      <c r="F6" s="7">
        <v>2015</v>
      </c>
      <c r="G6" s="7">
        <v>2016</v>
      </c>
      <c r="H6" s="7">
        <v>2017</v>
      </c>
      <c r="I6" s="7">
        <v>2018</v>
      </c>
      <c r="J6" s="7">
        <v>2019</v>
      </c>
      <c r="K6" s="7">
        <v>2020</v>
      </c>
    </row>
    <row r="7" spans="1:14" ht="14.45" customHeight="1" x14ac:dyDescent="0.25">
      <c r="A7" s="439" t="s">
        <v>12</v>
      </c>
      <c r="B7" s="439"/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4" ht="14.45" customHeight="1" x14ac:dyDescent="0.25">
      <c r="A8" s="9" t="s">
        <v>51</v>
      </c>
      <c r="B8" s="10" t="s">
        <v>52</v>
      </c>
      <c r="C8" s="11">
        <v>1520</v>
      </c>
      <c r="D8" s="11">
        <v>429</v>
      </c>
      <c r="E8" s="11" t="s">
        <v>7</v>
      </c>
      <c r="F8" s="11" t="s">
        <v>7</v>
      </c>
      <c r="G8" s="11" t="s">
        <v>7</v>
      </c>
      <c r="H8" s="11" t="s">
        <v>7</v>
      </c>
      <c r="I8" s="11" t="s">
        <v>7</v>
      </c>
      <c r="J8" s="11" t="s">
        <v>7</v>
      </c>
      <c r="K8" s="11" t="s">
        <v>7</v>
      </c>
      <c r="N8" s="5"/>
    </row>
    <row r="9" spans="1:14" ht="14.45" customHeight="1" x14ac:dyDescent="0.25">
      <c r="A9" s="17" t="s">
        <v>13</v>
      </c>
      <c r="B9" s="18" t="s">
        <v>14</v>
      </c>
      <c r="C9" s="19" t="s">
        <v>7</v>
      </c>
      <c r="D9" s="19" t="s">
        <v>7</v>
      </c>
      <c r="E9" s="19">
        <v>273</v>
      </c>
      <c r="F9" s="19" t="s">
        <v>7</v>
      </c>
      <c r="G9" s="19" t="s">
        <v>7</v>
      </c>
      <c r="H9" s="19" t="s">
        <v>7</v>
      </c>
      <c r="I9" s="19" t="s">
        <v>7</v>
      </c>
      <c r="J9" s="19" t="s">
        <v>7</v>
      </c>
      <c r="K9" s="19" t="s">
        <v>7</v>
      </c>
      <c r="N9" s="5"/>
    </row>
    <row r="10" spans="1:14" ht="14.45" customHeight="1" x14ac:dyDescent="0.25">
      <c r="A10" s="9" t="s">
        <v>13</v>
      </c>
      <c r="B10" s="10" t="s">
        <v>53</v>
      </c>
      <c r="C10" s="11">
        <v>871</v>
      </c>
      <c r="D10" s="11">
        <v>1611</v>
      </c>
      <c r="E10" s="11" t="s">
        <v>7</v>
      </c>
      <c r="F10" s="11" t="s">
        <v>7</v>
      </c>
      <c r="G10" s="11" t="s">
        <v>7</v>
      </c>
      <c r="H10" s="11" t="s">
        <v>7</v>
      </c>
      <c r="I10" s="11" t="s">
        <v>7</v>
      </c>
      <c r="J10" s="11" t="s">
        <v>7</v>
      </c>
      <c r="K10" s="11" t="s">
        <v>7</v>
      </c>
    </row>
    <row r="11" spans="1:14" ht="14.45" customHeight="1" x14ac:dyDescent="0.25">
      <c r="A11" s="17" t="s">
        <v>13</v>
      </c>
      <c r="B11" s="18" t="s">
        <v>54</v>
      </c>
      <c r="C11" s="19">
        <v>1</v>
      </c>
      <c r="D11" s="19" t="s">
        <v>7</v>
      </c>
      <c r="E11" s="19" t="s">
        <v>7</v>
      </c>
      <c r="F11" s="19" t="s">
        <v>7</v>
      </c>
      <c r="G11" s="19" t="s">
        <v>7</v>
      </c>
      <c r="H11" s="19" t="s">
        <v>7</v>
      </c>
      <c r="I11" s="19" t="s">
        <v>7</v>
      </c>
      <c r="J11" s="19" t="s">
        <v>7</v>
      </c>
      <c r="K11" s="19" t="s">
        <v>7</v>
      </c>
    </row>
    <row r="12" spans="1:14" ht="14.45" customHeight="1" x14ac:dyDescent="0.25">
      <c r="A12" s="9" t="s">
        <v>15</v>
      </c>
      <c r="B12" s="10" t="s">
        <v>17</v>
      </c>
      <c r="C12" s="11" t="s">
        <v>7</v>
      </c>
      <c r="D12" s="11" t="s">
        <v>7</v>
      </c>
      <c r="E12" s="11" t="s">
        <v>7</v>
      </c>
      <c r="F12" s="11" t="s">
        <v>7</v>
      </c>
      <c r="G12" s="11" t="s">
        <v>7</v>
      </c>
      <c r="H12" s="11" t="s">
        <v>7</v>
      </c>
      <c r="I12" s="11" t="s">
        <v>7</v>
      </c>
      <c r="J12" s="11" t="s">
        <v>7</v>
      </c>
      <c r="K12" s="11" t="s">
        <v>7</v>
      </c>
    </row>
    <row r="13" spans="1:14" ht="14.45" customHeight="1" x14ac:dyDescent="0.25">
      <c r="A13" s="439" t="s">
        <v>21</v>
      </c>
      <c r="B13" s="439"/>
      <c r="C13" s="16">
        <v>2392</v>
      </c>
      <c r="D13" s="16">
        <v>2040</v>
      </c>
      <c r="E13" s="16">
        <v>273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4" ht="14.45" customHeight="1" x14ac:dyDescent="0.25">
      <c r="A14" s="9" t="s">
        <v>30</v>
      </c>
      <c r="B14" s="10">
        <v>57</v>
      </c>
      <c r="C14" s="11" t="s">
        <v>7</v>
      </c>
      <c r="D14" s="11" t="s">
        <v>7</v>
      </c>
      <c r="E14" s="11">
        <v>211</v>
      </c>
      <c r="F14" s="11" t="s">
        <v>7</v>
      </c>
      <c r="G14" s="11" t="s">
        <v>7</v>
      </c>
      <c r="H14" s="11" t="s">
        <v>7</v>
      </c>
      <c r="I14" s="11" t="s">
        <v>7</v>
      </c>
      <c r="J14" s="49" t="s">
        <v>7</v>
      </c>
      <c r="K14" s="49" t="s">
        <v>7</v>
      </c>
    </row>
    <row r="15" spans="1:14" ht="14.45" customHeight="1" x14ac:dyDescent="0.25">
      <c r="A15" s="439" t="s">
        <v>31</v>
      </c>
      <c r="B15" s="439"/>
      <c r="C15" s="16">
        <v>0</v>
      </c>
      <c r="D15" s="16">
        <v>0</v>
      </c>
      <c r="E15" s="16">
        <v>211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4" ht="14.45" customHeight="1" x14ac:dyDescent="0.25">
      <c r="A16" s="432" t="s">
        <v>32</v>
      </c>
      <c r="B16" s="432"/>
      <c r="C16" s="22">
        <f>+C7+C13+C15</f>
        <v>2392</v>
      </c>
      <c r="D16" s="22">
        <f t="shared" ref="D16:K16" si="0">+D7+D13+D15</f>
        <v>2040</v>
      </c>
      <c r="E16" s="22">
        <f t="shared" si="0"/>
        <v>484</v>
      </c>
      <c r="F16" s="22">
        <f t="shared" si="0"/>
        <v>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0</v>
      </c>
      <c r="K16" s="22">
        <f t="shared" si="0"/>
        <v>0</v>
      </c>
    </row>
    <row r="17" spans="1:21" x14ac:dyDescent="0.25">
      <c r="C17" s="39"/>
      <c r="D17" s="39"/>
      <c r="E17" s="39"/>
      <c r="F17" s="39"/>
      <c r="G17" s="39"/>
      <c r="H17" s="39"/>
      <c r="I17" s="39"/>
      <c r="J17" s="39"/>
      <c r="K17" s="39"/>
    </row>
    <row r="18" spans="1:21" x14ac:dyDescent="0.25">
      <c r="A18" s="1" t="s">
        <v>33</v>
      </c>
    </row>
    <row r="21" spans="1:21" ht="15.75" thickBot="1" x14ac:dyDescent="0.3">
      <c r="A21" s="23" t="s">
        <v>34</v>
      </c>
      <c r="B21" s="24"/>
      <c r="C21" s="24"/>
      <c r="D21" s="24"/>
      <c r="E21" s="24"/>
      <c r="F21" s="24"/>
      <c r="G21" s="24"/>
    </row>
    <row r="22" spans="1:21" ht="15.75" thickBot="1" x14ac:dyDescent="0.3">
      <c r="A22" s="24"/>
      <c r="B22" s="433" t="s">
        <v>55</v>
      </c>
      <c r="C22" s="434"/>
      <c r="D22" s="434"/>
      <c r="E22" s="434"/>
      <c r="F22" s="434"/>
      <c r="G22" s="435"/>
    </row>
    <row r="23" spans="1:21" ht="26.25" thickBot="1" x14ac:dyDescent="0.3">
      <c r="A23" s="26" t="s">
        <v>4</v>
      </c>
      <c r="B23" s="50">
        <v>2021</v>
      </c>
      <c r="C23" s="51">
        <v>2022</v>
      </c>
      <c r="D23" s="51">
        <v>2023</v>
      </c>
      <c r="E23" s="51">
        <v>2024</v>
      </c>
      <c r="F23" s="51">
        <v>2025</v>
      </c>
      <c r="G23" s="29" t="s">
        <v>56</v>
      </c>
      <c r="I23" s="24"/>
      <c r="J23" s="24"/>
      <c r="K23" s="24"/>
      <c r="L23" s="24"/>
      <c r="M23" s="24"/>
      <c r="N23" s="5"/>
      <c r="O23" s="5"/>
      <c r="P23" s="5"/>
      <c r="Q23" s="5"/>
      <c r="R23" s="5"/>
      <c r="S23" s="5"/>
      <c r="T23" s="5"/>
      <c r="U23" s="5"/>
    </row>
    <row r="24" spans="1:21" x14ac:dyDescent="0.25">
      <c r="A24" s="30" t="s">
        <v>38</v>
      </c>
      <c r="B24" s="32" t="s">
        <v>7</v>
      </c>
      <c r="C24" s="32" t="s">
        <v>7</v>
      </c>
      <c r="D24" s="32" t="s">
        <v>7</v>
      </c>
      <c r="E24" s="32" t="s">
        <v>7</v>
      </c>
      <c r="F24" s="32" t="s">
        <v>7</v>
      </c>
      <c r="G24" s="33">
        <f t="shared" ref="G24:G35" si="1">+SUM(B24,C24,D24,E24,F24)</f>
        <v>0</v>
      </c>
      <c r="I24" s="2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x14ac:dyDescent="0.25">
      <c r="A25" s="34" t="s">
        <v>6</v>
      </c>
      <c r="B25" s="36" t="s">
        <v>7</v>
      </c>
      <c r="C25" s="36" t="s">
        <v>7</v>
      </c>
      <c r="D25" s="36" t="s">
        <v>7</v>
      </c>
      <c r="E25" s="36" t="s">
        <v>7</v>
      </c>
      <c r="F25" s="36" t="s">
        <v>7</v>
      </c>
      <c r="G25" s="37">
        <f t="shared" si="1"/>
        <v>0</v>
      </c>
      <c r="I25" s="1"/>
      <c r="J25" s="1"/>
      <c r="L25" s="3"/>
      <c r="M25" s="3"/>
      <c r="N25" s="436" t="s">
        <v>57</v>
      </c>
      <c r="O25" s="436"/>
      <c r="P25" s="436"/>
      <c r="Q25" s="436"/>
      <c r="R25" s="436"/>
      <c r="S25" s="436"/>
      <c r="T25" s="436"/>
      <c r="U25" s="5"/>
    </row>
    <row r="26" spans="1:21" x14ac:dyDescent="0.25">
      <c r="A26" s="34" t="s">
        <v>40</v>
      </c>
      <c r="B26" s="36" t="s">
        <v>7</v>
      </c>
      <c r="C26" s="36" t="s">
        <v>7</v>
      </c>
      <c r="D26" s="36" t="s">
        <v>7</v>
      </c>
      <c r="E26" s="36" t="s">
        <v>7</v>
      </c>
      <c r="F26" s="36" t="s">
        <v>7</v>
      </c>
      <c r="G26" s="37">
        <f t="shared" si="1"/>
        <v>0</v>
      </c>
      <c r="I26" s="1"/>
      <c r="J26" s="2"/>
      <c r="L26" s="3"/>
      <c r="M26" s="3"/>
      <c r="N26" s="3"/>
      <c r="O26" s="3"/>
      <c r="P26" s="3"/>
      <c r="Q26" s="3"/>
      <c r="R26" s="4"/>
      <c r="S26" s="5"/>
      <c r="T26" s="5"/>
      <c r="U26" s="5"/>
    </row>
    <row r="27" spans="1:21" x14ac:dyDescent="0.25">
      <c r="A27" s="34" t="s">
        <v>41</v>
      </c>
      <c r="B27" s="36" t="s">
        <v>7</v>
      </c>
      <c r="C27" s="36" t="s">
        <v>7</v>
      </c>
      <c r="D27" s="36" t="s">
        <v>7</v>
      </c>
      <c r="E27" s="36" t="s">
        <v>7</v>
      </c>
      <c r="F27" s="36" t="s">
        <v>7</v>
      </c>
      <c r="G27" s="37">
        <f t="shared" si="1"/>
        <v>0</v>
      </c>
      <c r="I27" s="1"/>
      <c r="J27" s="2" t="s">
        <v>39</v>
      </c>
      <c r="K27" s="5"/>
      <c r="L27" s="38">
        <f>+SUM(H16:K16)</f>
        <v>0</v>
      </c>
      <c r="M27" s="3"/>
      <c r="N27" s="3"/>
      <c r="O27" s="3"/>
      <c r="P27" s="3"/>
      <c r="Q27" s="3"/>
      <c r="R27" s="4"/>
      <c r="S27" s="5"/>
      <c r="T27" s="5"/>
      <c r="U27" s="5"/>
    </row>
    <row r="28" spans="1:21" x14ac:dyDescent="0.25">
      <c r="A28" s="34" t="s">
        <v>16</v>
      </c>
      <c r="B28" s="36" t="s">
        <v>7</v>
      </c>
      <c r="C28" s="36" t="s">
        <v>7</v>
      </c>
      <c r="D28" s="36">
        <v>1500</v>
      </c>
      <c r="E28" s="36" t="s">
        <v>7</v>
      </c>
      <c r="F28" s="36" t="s">
        <v>7</v>
      </c>
      <c r="G28" s="37">
        <f t="shared" si="1"/>
        <v>1500</v>
      </c>
      <c r="I28" s="1"/>
      <c r="J28" s="2">
        <v>2021</v>
      </c>
      <c r="K28" s="5"/>
      <c r="L28" s="38">
        <f>+B36</f>
        <v>0</v>
      </c>
      <c r="M28" s="3"/>
      <c r="N28" s="3"/>
      <c r="O28" s="3"/>
      <c r="P28" s="3"/>
      <c r="Q28" s="3"/>
      <c r="R28" s="4"/>
      <c r="S28" s="5"/>
      <c r="T28" s="5"/>
      <c r="U28" s="5"/>
    </row>
    <row r="29" spans="1:21" x14ac:dyDescent="0.25">
      <c r="A29" s="34" t="s">
        <v>17</v>
      </c>
      <c r="B29" s="36" t="s">
        <v>7</v>
      </c>
      <c r="C29" s="36" t="s">
        <v>7</v>
      </c>
      <c r="D29" s="36">
        <v>1500</v>
      </c>
      <c r="E29" s="36" t="s">
        <v>7</v>
      </c>
      <c r="F29" s="36" t="s">
        <v>7</v>
      </c>
      <c r="G29" s="37">
        <f t="shared" si="1"/>
        <v>1500</v>
      </c>
      <c r="I29" s="1"/>
      <c r="J29" s="2">
        <v>2022</v>
      </c>
      <c r="K29" s="5"/>
      <c r="L29" s="38">
        <f>+C36</f>
        <v>0</v>
      </c>
      <c r="M29" s="3"/>
      <c r="N29" s="3"/>
      <c r="O29" s="3"/>
      <c r="P29" s="3"/>
      <c r="Q29" s="3"/>
      <c r="R29" s="4"/>
      <c r="S29" s="5"/>
      <c r="T29" s="5"/>
      <c r="U29" s="5"/>
    </row>
    <row r="30" spans="1:21" x14ac:dyDescent="0.25">
      <c r="A30" s="34" t="s">
        <v>18</v>
      </c>
      <c r="B30" s="36" t="s">
        <v>7</v>
      </c>
      <c r="C30" s="36" t="s">
        <v>7</v>
      </c>
      <c r="D30" s="36">
        <v>1500</v>
      </c>
      <c r="E30" s="36" t="s">
        <v>7</v>
      </c>
      <c r="F30" s="36" t="s">
        <v>7</v>
      </c>
      <c r="G30" s="37">
        <f t="shared" si="1"/>
        <v>1500</v>
      </c>
      <c r="I30" s="1"/>
      <c r="J30" s="2">
        <v>2023</v>
      </c>
      <c r="K30" s="5"/>
      <c r="L30" s="38">
        <f>+D36</f>
        <v>4500</v>
      </c>
      <c r="M30" s="3"/>
      <c r="N30" s="3"/>
      <c r="O30" s="3"/>
      <c r="P30" s="3"/>
      <c r="Q30" s="3"/>
      <c r="R30" s="4"/>
      <c r="S30" s="5"/>
      <c r="T30" s="5"/>
      <c r="U30" s="5"/>
    </row>
    <row r="31" spans="1:21" x14ac:dyDescent="0.25">
      <c r="A31" s="34" t="s">
        <v>42</v>
      </c>
      <c r="B31" s="36" t="s">
        <v>7</v>
      </c>
      <c r="C31" s="36" t="s">
        <v>7</v>
      </c>
      <c r="D31" s="36" t="s">
        <v>7</v>
      </c>
      <c r="E31" s="36" t="s">
        <v>7</v>
      </c>
      <c r="F31" s="36" t="s">
        <v>7</v>
      </c>
      <c r="G31" s="37">
        <f t="shared" si="1"/>
        <v>0</v>
      </c>
      <c r="I31" s="1"/>
      <c r="J31" s="2">
        <v>2024</v>
      </c>
      <c r="K31" s="5"/>
      <c r="L31" s="38">
        <f>+E36</f>
        <v>0</v>
      </c>
      <c r="M31" s="3"/>
      <c r="N31" s="3"/>
      <c r="O31" s="3"/>
      <c r="P31" s="3"/>
      <c r="Q31" s="3"/>
      <c r="R31" s="4"/>
      <c r="S31" s="5"/>
      <c r="T31" s="5"/>
      <c r="U31" s="5"/>
    </row>
    <row r="32" spans="1:21" x14ac:dyDescent="0.25">
      <c r="A32" s="34" t="s">
        <v>44</v>
      </c>
      <c r="B32" s="36" t="s">
        <v>7</v>
      </c>
      <c r="C32" s="36" t="s">
        <v>7</v>
      </c>
      <c r="D32" s="36" t="s">
        <v>7</v>
      </c>
      <c r="E32" s="36" t="s">
        <v>7</v>
      </c>
      <c r="F32" s="36" t="s">
        <v>7</v>
      </c>
      <c r="G32" s="37">
        <f t="shared" si="1"/>
        <v>0</v>
      </c>
      <c r="I32" s="1"/>
      <c r="J32" s="2">
        <v>2025</v>
      </c>
      <c r="L32" s="39">
        <f>+F36</f>
        <v>0</v>
      </c>
      <c r="M32" s="3"/>
      <c r="N32" s="3"/>
      <c r="O32" s="3"/>
      <c r="P32" s="3"/>
      <c r="Q32" s="3"/>
      <c r="R32" s="4"/>
      <c r="S32" s="5"/>
      <c r="T32" s="5"/>
      <c r="U32" s="5"/>
    </row>
    <row r="33" spans="1:21" x14ac:dyDescent="0.25">
      <c r="A33" s="34" t="s">
        <v>45</v>
      </c>
      <c r="B33" s="36" t="s">
        <v>7</v>
      </c>
      <c r="C33" s="36" t="s">
        <v>7</v>
      </c>
      <c r="D33" s="36" t="s">
        <v>7</v>
      </c>
      <c r="E33" s="36" t="s">
        <v>7</v>
      </c>
      <c r="F33" s="36" t="s">
        <v>7</v>
      </c>
      <c r="G33" s="37">
        <f t="shared" si="1"/>
        <v>0</v>
      </c>
      <c r="I33" s="1"/>
      <c r="J33" s="2" t="s">
        <v>43</v>
      </c>
      <c r="K33" s="5"/>
      <c r="L33" s="38">
        <f>+G36</f>
        <v>4500</v>
      </c>
      <c r="M33" s="3"/>
      <c r="N33" s="3"/>
      <c r="O33" s="3"/>
      <c r="P33" s="3"/>
      <c r="Q33" s="3"/>
      <c r="R33" s="4"/>
      <c r="S33" s="5"/>
      <c r="T33" s="5"/>
      <c r="U33" s="5"/>
    </row>
    <row r="34" spans="1:21" x14ac:dyDescent="0.25">
      <c r="A34" s="34" t="s">
        <v>46</v>
      </c>
      <c r="B34" s="36" t="s">
        <v>7</v>
      </c>
      <c r="C34" s="36" t="s">
        <v>7</v>
      </c>
      <c r="D34" s="36" t="s">
        <v>7</v>
      </c>
      <c r="E34" s="36" t="s">
        <v>7</v>
      </c>
      <c r="F34" s="36" t="s">
        <v>7</v>
      </c>
      <c r="G34" s="37">
        <f t="shared" si="1"/>
        <v>0</v>
      </c>
      <c r="I34" s="1"/>
      <c r="J34" s="2"/>
      <c r="L34" s="3"/>
      <c r="M34" s="3"/>
      <c r="N34" s="3"/>
      <c r="O34" s="3"/>
      <c r="P34" s="3"/>
      <c r="Q34" s="3"/>
      <c r="R34" s="4"/>
      <c r="S34" s="5"/>
      <c r="T34" s="5"/>
      <c r="U34" s="5"/>
    </row>
    <row r="35" spans="1:21" ht="15.75" thickBot="1" x14ac:dyDescent="0.3">
      <c r="A35" s="40">
        <v>107</v>
      </c>
      <c r="B35" s="42" t="s">
        <v>7</v>
      </c>
      <c r="C35" s="42" t="s">
        <v>7</v>
      </c>
      <c r="D35" s="42" t="s">
        <v>7</v>
      </c>
      <c r="E35" s="42" t="s">
        <v>7</v>
      </c>
      <c r="F35" s="42" t="s">
        <v>7</v>
      </c>
      <c r="G35" s="43">
        <f t="shared" si="1"/>
        <v>0</v>
      </c>
      <c r="I35" s="1"/>
      <c r="J35" s="2"/>
      <c r="L35" s="3"/>
      <c r="M35" s="3"/>
      <c r="N35" s="3"/>
      <c r="O35" s="3"/>
      <c r="P35" s="3"/>
      <c r="Q35" s="3"/>
      <c r="R35" s="4"/>
      <c r="S35" s="5"/>
      <c r="T35" s="5"/>
      <c r="U35" s="5"/>
    </row>
    <row r="36" spans="1:21" ht="15.75" thickBot="1" x14ac:dyDescent="0.3">
      <c r="A36" s="44" t="s">
        <v>47</v>
      </c>
      <c r="B36" s="45">
        <f>+SUM(B24:B35)</f>
        <v>0</v>
      </c>
      <c r="C36" s="46">
        <f t="shared" ref="C36:G36" si="2">+SUM(C24:C35)</f>
        <v>0</v>
      </c>
      <c r="D36" s="46">
        <f t="shared" si="2"/>
        <v>4500</v>
      </c>
      <c r="E36" s="46">
        <f t="shared" si="2"/>
        <v>0</v>
      </c>
      <c r="F36" s="46">
        <f t="shared" si="2"/>
        <v>0</v>
      </c>
      <c r="G36" s="47">
        <f t="shared" si="2"/>
        <v>4500</v>
      </c>
      <c r="I36" s="1"/>
      <c r="J36" s="2"/>
      <c r="L36" s="3"/>
      <c r="M36" s="3"/>
      <c r="N36" s="3"/>
      <c r="O36" s="3"/>
      <c r="P36" s="3"/>
      <c r="Q36" s="3"/>
      <c r="R36" s="4"/>
      <c r="S36" s="5"/>
      <c r="T36" s="5"/>
      <c r="U36" s="5"/>
    </row>
    <row r="37" spans="1:21" x14ac:dyDescent="0.25">
      <c r="A37" s="24"/>
      <c r="B37" s="24"/>
      <c r="C37" s="24"/>
      <c r="D37" s="24"/>
      <c r="E37" s="24"/>
      <c r="F37" s="24"/>
      <c r="G37" s="24"/>
      <c r="I37" s="1"/>
      <c r="J37" s="2"/>
      <c r="L37" s="3"/>
      <c r="M37" s="3"/>
      <c r="N37" s="3"/>
      <c r="O37" s="3"/>
      <c r="P37" s="3"/>
      <c r="Q37" s="3"/>
      <c r="R37" s="4"/>
      <c r="S37" s="5"/>
      <c r="T37" s="5"/>
      <c r="U37" s="5"/>
    </row>
    <row r="38" spans="1:21" x14ac:dyDescent="0.25">
      <c r="A38" s="437"/>
      <c r="B38" s="437"/>
      <c r="C38" s="437"/>
      <c r="D38" s="437"/>
      <c r="E38" s="24"/>
      <c r="F38" s="24"/>
      <c r="G38" s="24"/>
      <c r="I38" s="1"/>
      <c r="J38" s="2"/>
      <c r="L38" s="3"/>
      <c r="M38" s="3"/>
      <c r="N38" s="3"/>
      <c r="O38" s="3"/>
      <c r="P38" s="3"/>
      <c r="Q38" s="3"/>
      <c r="R38" s="4"/>
      <c r="S38" s="5"/>
      <c r="T38" s="5"/>
      <c r="U38" s="5"/>
    </row>
    <row r="39" spans="1:21" x14ac:dyDescent="0.25">
      <c r="A39" s="1" t="s">
        <v>33</v>
      </c>
      <c r="I39" s="1"/>
      <c r="J39" s="2"/>
      <c r="L39" s="3"/>
      <c r="M39" s="3"/>
      <c r="N39" s="3"/>
      <c r="O39" s="3"/>
      <c r="P39" s="3"/>
      <c r="Q39" s="3"/>
      <c r="R39" s="4"/>
      <c r="S39" s="5"/>
      <c r="T39" s="5"/>
      <c r="U39" s="5"/>
    </row>
    <row r="40" spans="1:21" x14ac:dyDescent="0.25">
      <c r="I40" s="1"/>
      <c r="J40" s="2"/>
      <c r="L40" s="3"/>
      <c r="M40" s="3"/>
      <c r="N40" s="3"/>
      <c r="O40" s="3"/>
      <c r="P40" s="3"/>
      <c r="Q40" s="3"/>
      <c r="R40" s="4"/>
      <c r="S40" s="5"/>
      <c r="T40" s="5"/>
      <c r="U40" s="5"/>
    </row>
    <row r="41" spans="1:21" x14ac:dyDescent="0.25">
      <c r="I41" s="1"/>
      <c r="J41" s="2"/>
      <c r="L41" s="3"/>
      <c r="M41" s="3"/>
      <c r="N41" s="3"/>
      <c r="O41" s="3"/>
      <c r="P41" s="3"/>
      <c r="Q41" s="3"/>
      <c r="R41" s="4"/>
      <c r="S41" s="5"/>
      <c r="T41" s="5"/>
      <c r="U41" s="5"/>
    </row>
    <row r="42" spans="1:21" x14ac:dyDescent="0.25">
      <c r="I42" s="1"/>
      <c r="J42" s="2"/>
      <c r="L42" s="3"/>
      <c r="M42" s="3"/>
      <c r="N42" s="3"/>
      <c r="O42" s="3"/>
      <c r="P42" s="3"/>
      <c r="Q42" s="3"/>
      <c r="R42" s="4"/>
      <c r="S42" s="5"/>
      <c r="T42" s="5"/>
      <c r="U42" s="5"/>
    </row>
    <row r="43" spans="1:21" x14ac:dyDescent="0.25">
      <c r="I43" s="1"/>
      <c r="J43" s="2"/>
      <c r="L43" s="3"/>
      <c r="M43" s="3"/>
      <c r="N43" s="438" t="s">
        <v>58</v>
      </c>
      <c r="O43" s="438"/>
      <c r="P43" s="438"/>
      <c r="Q43" s="438"/>
      <c r="R43" s="438"/>
      <c r="S43" s="438"/>
      <c r="T43" s="438"/>
      <c r="U43" s="5"/>
    </row>
    <row r="44" spans="1:21" x14ac:dyDescent="0.25">
      <c r="I44" s="5"/>
      <c r="J44" s="5"/>
      <c r="K44" s="5"/>
      <c r="L44" s="5"/>
      <c r="M44" s="5"/>
      <c r="N44" s="438"/>
      <c r="O44" s="438"/>
      <c r="P44" s="438"/>
      <c r="Q44" s="438"/>
      <c r="R44" s="438"/>
      <c r="S44" s="438"/>
      <c r="T44" s="438"/>
      <c r="U44" s="5"/>
    </row>
    <row r="45" spans="1:21" x14ac:dyDescent="0.25">
      <c r="J45" s="4"/>
      <c r="K45" s="4"/>
      <c r="L45" s="5"/>
      <c r="M45" s="5"/>
      <c r="N45" s="438"/>
      <c r="O45" s="438"/>
      <c r="P45" s="438"/>
      <c r="Q45" s="438"/>
      <c r="R45" s="438"/>
      <c r="S45" s="438"/>
      <c r="T45" s="438"/>
      <c r="U45" s="5"/>
    </row>
    <row r="46" spans="1:21" x14ac:dyDescent="0.25">
      <c r="J46" s="4"/>
      <c r="K46" s="4"/>
      <c r="L46" s="5"/>
      <c r="M46" s="5"/>
      <c r="N46" s="5"/>
      <c r="O46" s="5"/>
      <c r="P46" s="5"/>
      <c r="Q46" s="5"/>
      <c r="R46" s="5"/>
      <c r="S46" s="5"/>
      <c r="T46" s="5"/>
      <c r="U46" s="5"/>
    </row>
  </sheetData>
  <mergeCells count="11">
    <mergeCell ref="A15:B15"/>
    <mergeCell ref="A2:K2"/>
    <mergeCell ref="A4:K4"/>
    <mergeCell ref="A5:K5"/>
    <mergeCell ref="A7:B7"/>
    <mergeCell ref="A13:B13"/>
    <mergeCell ref="A16:B16"/>
    <mergeCell ref="B22:G22"/>
    <mergeCell ref="N25:T25"/>
    <mergeCell ref="A38:D38"/>
    <mergeCell ref="N43:T45"/>
  </mergeCells>
  <pageMargins left="0.7" right="0.7" top="0.75" bottom="0.75" header="0.3" footer="0.3"/>
  <pageSetup scale="96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I52"/>
  <sheetViews>
    <sheetView topLeftCell="A43" zoomScaleNormal="100" workbookViewId="0">
      <selection activeCell="L35" sqref="L35"/>
    </sheetView>
  </sheetViews>
  <sheetFormatPr baseColWidth="10" defaultRowHeight="15" x14ac:dyDescent="0.25"/>
  <cols>
    <col min="1" max="9" width="11.42578125" style="300"/>
  </cols>
  <sheetData>
    <row r="1" spans="1:9" ht="14.45" customHeight="1" x14ac:dyDescent="0.25">
      <c r="A1" s="539" t="s">
        <v>550</v>
      </c>
      <c r="B1" s="539"/>
      <c r="C1" s="539"/>
      <c r="D1" s="289" t="s">
        <v>551</v>
      </c>
      <c r="E1" s="289" t="s">
        <v>552</v>
      </c>
      <c r="F1" s="289" t="s">
        <v>553</v>
      </c>
      <c r="G1" s="289" t="s">
        <v>554</v>
      </c>
      <c r="H1" s="289" t="s">
        <v>555</v>
      </c>
      <c r="I1" s="289" t="s">
        <v>556</v>
      </c>
    </row>
    <row r="2" spans="1:9" ht="14.45" customHeight="1" x14ac:dyDescent="0.25">
      <c r="A2" s="540" t="s">
        <v>557</v>
      </c>
      <c r="B2" s="540"/>
      <c r="C2" s="540"/>
      <c r="D2" s="290">
        <v>9485.4616100000003</v>
      </c>
      <c r="E2" s="290">
        <v>0</v>
      </c>
      <c r="F2" s="290">
        <v>2015.0729999999994</v>
      </c>
      <c r="G2" s="290">
        <v>1255.663</v>
      </c>
      <c r="H2" s="290">
        <v>6214.7256100000004</v>
      </c>
      <c r="I2">
        <v>0</v>
      </c>
    </row>
    <row r="3" spans="1:9" ht="14.45" customHeight="1" x14ac:dyDescent="0.25">
      <c r="A3" s="540" t="s">
        <v>558</v>
      </c>
      <c r="B3" s="540"/>
      <c r="C3" s="540"/>
      <c r="D3" s="290">
        <v>15135.191440000001</v>
      </c>
      <c r="E3" s="290">
        <v>0</v>
      </c>
      <c r="F3" s="290">
        <v>0</v>
      </c>
      <c r="G3" s="290">
        <v>879.51300000000003</v>
      </c>
      <c r="H3" s="290">
        <v>14255.67844</v>
      </c>
      <c r="I3">
        <v>0</v>
      </c>
    </row>
    <row r="4" spans="1:9" ht="14.45" customHeight="1" x14ac:dyDescent="0.25">
      <c r="A4" s="541" t="s">
        <v>559</v>
      </c>
      <c r="B4" s="541"/>
      <c r="C4" s="541"/>
      <c r="D4" s="291">
        <f>+D2+D3</f>
        <v>24620.653050000001</v>
      </c>
      <c r="E4" s="291">
        <f t="shared" ref="E4:I4" si="0">+E2+E3</f>
        <v>0</v>
      </c>
      <c r="F4" s="291">
        <f t="shared" si="0"/>
        <v>2015.0729999999994</v>
      </c>
      <c r="G4" s="291">
        <f t="shared" si="0"/>
        <v>2135.1759999999999</v>
      </c>
      <c r="H4" s="291">
        <f t="shared" si="0"/>
        <v>20470.404050000001</v>
      </c>
      <c r="I4" s="291">
        <f t="shared" si="0"/>
        <v>0</v>
      </c>
    </row>
    <row r="5" spans="1:9" ht="14.45" customHeight="1" x14ac:dyDescent="0.25">
      <c r="A5" s="539" t="s">
        <v>560</v>
      </c>
      <c r="B5" s="539"/>
      <c r="C5" s="539"/>
      <c r="D5" s="292"/>
      <c r="E5" s="292"/>
      <c r="F5" s="292"/>
      <c r="G5" s="292"/>
      <c r="H5" s="292"/>
      <c r="I5" s="292"/>
    </row>
    <row r="6" spans="1:9" ht="14.45" customHeight="1" x14ac:dyDescent="0.25">
      <c r="A6" s="538" t="s">
        <v>561</v>
      </c>
      <c r="B6" s="538"/>
      <c r="C6" s="538"/>
      <c r="D6" s="293"/>
      <c r="E6" s="293"/>
      <c r="F6" s="293"/>
      <c r="G6" s="293"/>
      <c r="H6" s="293"/>
      <c r="I6" s="293"/>
    </row>
    <row r="7" spans="1:9" ht="14.45" customHeight="1" x14ac:dyDescent="0.25">
      <c r="A7" s="540" t="s">
        <v>562</v>
      </c>
      <c r="B7" s="540"/>
      <c r="C7" s="540"/>
      <c r="D7" s="290">
        <v>814.57299999999998</v>
      </c>
      <c r="E7" s="290">
        <v>583.95400000000006</v>
      </c>
      <c r="F7" s="290">
        <v>133.92099999999999</v>
      </c>
      <c r="G7" s="290">
        <v>96.698000000000008</v>
      </c>
      <c r="H7" s="290">
        <v>0</v>
      </c>
      <c r="I7" s="290">
        <v>0</v>
      </c>
    </row>
    <row r="8" spans="1:9" ht="14.45" customHeight="1" x14ac:dyDescent="0.25">
      <c r="A8" s="540" t="s">
        <v>563</v>
      </c>
      <c r="B8" s="540"/>
      <c r="C8" s="540"/>
      <c r="D8" s="290">
        <v>10.628999999999998</v>
      </c>
      <c r="E8" s="290">
        <v>0.67099999999999993</v>
      </c>
      <c r="F8" s="290">
        <v>0</v>
      </c>
      <c r="G8" s="290">
        <v>9.9579999999999984</v>
      </c>
      <c r="H8" s="290">
        <v>0</v>
      </c>
      <c r="I8" s="290">
        <v>0</v>
      </c>
    </row>
    <row r="9" spans="1:9" ht="14.45" customHeight="1" x14ac:dyDescent="0.25">
      <c r="A9" s="540" t="s">
        <v>564</v>
      </c>
      <c r="B9" s="540"/>
      <c r="C9" s="540"/>
      <c r="D9" s="290">
        <v>207.02</v>
      </c>
      <c r="E9" s="290">
        <v>207.02</v>
      </c>
      <c r="F9" s="290"/>
      <c r="G9" s="290"/>
      <c r="H9" s="290"/>
      <c r="I9" s="290"/>
    </row>
    <row r="10" spans="1:9" ht="14.45" customHeight="1" x14ac:dyDescent="0.25">
      <c r="A10" s="540" t="s">
        <v>565</v>
      </c>
      <c r="B10" s="540"/>
      <c r="C10" s="540"/>
      <c r="D10" s="290">
        <v>150.86999999999998</v>
      </c>
      <c r="E10" s="290">
        <v>139.56799999999998</v>
      </c>
      <c r="F10" s="290">
        <v>11.302</v>
      </c>
      <c r="G10" s="290">
        <v>0</v>
      </c>
      <c r="H10" s="290">
        <v>0</v>
      </c>
      <c r="I10" s="290">
        <v>0</v>
      </c>
    </row>
    <row r="11" spans="1:9" x14ac:dyDescent="0.25">
      <c r="A11" s="540" t="s">
        <v>566</v>
      </c>
      <c r="B11" s="540"/>
      <c r="C11" s="540"/>
      <c r="D11" s="290">
        <v>282.601</v>
      </c>
      <c r="E11" s="290">
        <v>171.39900000000003</v>
      </c>
      <c r="F11" s="290">
        <v>45.084000000000003</v>
      </c>
      <c r="G11" s="290">
        <v>1.3679999999999999</v>
      </c>
      <c r="H11" s="290">
        <v>64.75</v>
      </c>
      <c r="I11" s="290">
        <v>0</v>
      </c>
    </row>
    <row r="12" spans="1:9" x14ac:dyDescent="0.25">
      <c r="A12" s="540" t="s">
        <v>567</v>
      </c>
      <c r="B12" s="540"/>
      <c r="C12" s="540"/>
      <c r="D12" s="290">
        <v>456.44200000000001</v>
      </c>
      <c r="E12" s="290">
        <v>0</v>
      </c>
      <c r="F12" s="290">
        <v>0</v>
      </c>
      <c r="G12" s="290">
        <v>326.40199999999999</v>
      </c>
      <c r="H12" s="290">
        <v>130.04</v>
      </c>
      <c r="I12" s="290">
        <v>0</v>
      </c>
    </row>
    <row r="13" spans="1:9" x14ac:dyDescent="0.25">
      <c r="A13" s="540" t="s">
        <v>568</v>
      </c>
      <c r="B13" s="540"/>
      <c r="C13" s="540"/>
      <c r="D13" s="290">
        <v>0</v>
      </c>
      <c r="E13" s="290">
        <v>0</v>
      </c>
      <c r="F13" s="290">
        <v>0</v>
      </c>
      <c r="G13" s="290">
        <v>0</v>
      </c>
      <c r="H13" s="290">
        <v>0</v>
      </c>
      <c r="I13" s="290">
        <v>0</v>
      </c>
    </row>
    <row r="14" spans="1:9" ht="14.45" customHeight="1" x14ac:dyDescent="0.25">
      <c r="A14" s="540" t="s">
        <v>569</v>
      </c>
      <c r="B14" s="540"/>
      <c r="C14" s="540"/>
      <c r="D14" s="294">
        <v>46.244</v>
      </c>
      <c r="E14" s="294">
        <v>0</v>
      </c>
      <c r="F14" s="290">
        <v>0</v>
      </c>
      <c r="G14" s="294">
        <v>46.244</v>
      </c>
      <c r="H14" s="294">
        <v>0</v>
      </c>
      <c r="I14" s="290">
        <v>0</v>
      </c>
    </row>
    <row r="15" spans="1:9" ht="14.45" customHeight="1" x14ac:dyDescent="0.25">
      <c r="A15" s="540" t="s">
        <v>570</v>
      </c>
      <c r="B15" s="540"/>
      <c r="C15" s="540"/>
      <c r="D15" s="290">
        <v>336.64499999999998</v>
      </c>
      <c r="E15" s="290">
        <v>80.075000000000003</v>
      </c>
      <c r="F15" s="290">
        <v>0</v>
      </c>
      <c r="G15" s="290">
        <v>0</v>
      </c>
      <c r="H15" s="290">
        <v>256.57</v>
      </c>
      <c r="I15" s="290">
        <v>0</v>
      </c>
    </row>
    <row r="16" spans="1:9" ht="14.45" customHeight="1" x14ac:dyDescent="0.25">
      <c r="A16" s="540" t="s">
        <v>571</v>
      </c>
      <c r="B16" s="540"/>
      <c r="C16" s="540"/>
      <c r="D16" s="290">
        <v>1033.2979999999998</v>
      </c>
      <c r="E16" s="290">
        <v>22.882999999999999</v>
      </c>
      <c r="F16" s="290">
        <v>369.11499999999995</v>
      </c>
      <c r="G16" s="290">
        <v>639.24</v>
      </c>
      <c r="H16" s="290">
        <v>2.06</v>
      </c>
      <c r="I16" s="290">
        <v>0</v>
      </c>
    </row>
    <row r="17" spans="1:9" ht="14.45" customHeight="1" x14ac:dyDescent="0.25">
      <c r="A17" s="540" t="s">
        <v>572</v>
      </c>
      <c r="B17" s="540"/>
      <c r="C17" s="540"/>
      <c r="D17" s="290">
        <v>3.665</v>
      </c>
      <c r="E17" s="290">
        <v>0</v>
      </c>
      <c r="F17" s="290">
        <v>0</v>
      </c>
      <c r="G17" s="290">
        <v>3.665</v>
      </c>
      <c r="H17" s="290"/>
      <c r="I17" s="290"/>
    </row>
    <row r="18" spans="1:9" x14ac:dyDescent="0.25">
      <c r="A18" s="540" t="s">
        <v>573</v>
      </c>
      <c r="B18" s="540"/>
      <c r="C18" s="540"/>
      <c r="D18" s="290">
        <v>462.26700000000005</v>
      </c>
      <c r="E18" s="290">
        <v>111.16000000000003</v>
      </c>
      <c r="F18" s="290">
        <v>10.921000000000001</v>
      </c>
      <c r="G18" s="290">
        <v>274.40600000000001</v>
      </c>
      <c r="H18" s="290">
        <v>65.78</v>
      </c>
      <c r="I18" s="290">
        <v>0</v>
      </c>
    </row>
    <row r="19" spans="1:9" x14ac:dyDescent="0.25">
      <c r="A19" s="540" t="s">
        <v>574</v>
      </c>
      <c r="B19" s="540"/>
      <c r="C19" s="540"/>
      <c r="D19" s="290">
        <v>0</v>
      </c>
      <c r="E19" s="290">
        <v>0</v>
      </c>
      <c r="F19" s="290">
        <v>0</v>
      </c>
      <c r="G19" s="290">
        <v>0</v>
      </c>
      <c r="H19" s="290">
        <v>0</v>
      </c>
      <c r="I19" s="290">
        <v>0</v>
      </c>
    </row>
    <row r="20" spans="1:9" x14ac:dyDescent="0.25">
      <c r="A20" s="543" t="s">
        <v>575</v>
      </c>
      <c r="B20" s="543"/>
      <c r="C20" s="295"/>
      <c r="D20" s="291">
        <f>+SUM(D7:D19)</f>
        <v>3804.253999999999</v>
      </c>
      <c r="E20" s="291">
        <f t="shared" ref="E20:I20" si="1">+SUM(E7:E19)</f>
        <v>1316.7300000000002</v>
      </c>
      <c r="F20" s="291">
        <f t="shared" si="1"/>
        <v>570.34299999999996</v>
      </c>
      <c r="G20" s="291">
        <f t="shared" si="1"/>
        <v>1397.9809999999998</v>
      </c>
      <c r="H20" s="291">
        <f t="shared" si="1"/>
        <v>519.20000000000005</v>
      </c>
      <c r="I20" s="291">
        <f t="shared" si="1"/>
        <v>0</v>
      </c>
    </row>
    <row r="21" spans="1:9" ht="14.45" customHeight="1" x14ac:dyDescent="0.25">
      <c r="A21" s="538" t="s">
        <v>576</v>
      </c>
      <c r="B21" s="538"/>
      <c r="C21" s="538"/>
      <c r="D21" s="293"/>
      <c r="E21" s="293"/>
      <c r="F21" s="293"/>
      <c r="G21" s="293"/>
      <c r="H21" s="293"/>
      <c r="I21" s="293"/>
    </row>
    <row r="22" spans="1:9" x14ac:dyDescent="0.25">
      <c r="A22" s="540" t="s">
        <v>577</v>
      </c>
      <c r="B22" s="540"/>
      <c r="C22" s="540"/>
      <c r="D22" s="290">
        <v>0</v>
      </c>
      <c r="E22" s="290">
        <v>0</v>
      </c>
      <c r="F22" s="290">
        <v>0</v>
      </c>
      <c r="G22" s="290">
        <v>0</v>
      </c>
      <c r="H22" s="290">
        <v>0</v>
      </c>
      <c r="I22" s="290">
        <v>0</v>
      </c>
    </row>
    <row r="23" spans="1:9" ht="14.45" customHeight="1" x14ac:dyDescent="0.25">
      <c r="A23" s="540" t="s">
        <v>578</v>
      </c>
      <c r="B23" s="540"/>
      <c r="C23" s="540"/>
      <c r="D23" s="290">
        <v>93.457999999999998</v>
      </c>
      <c r="E23" s="290">
        <v>40.558</v>
      </c>
      <c r="F23" s="290">
        <v>0.10500000000000001</v>
      </c>
      <c r="G23" s="290">
        <v>52.795000000000002</v>
      </c>
      <c r="H23" s="290">
        <v>0</v>
      </c>
      <c r="I23" s="290">
        <v>0</v>
      </c>
    </row>
    <row r="24" spans="1:9" ht="14.45" customHeight="1" x14ac:dyDescent="0.25">
      <c r="A24" s="540" t="s">
        <v>579</v>
      </c>
      <c r="B24" s="540"/>
      <c r="C24" s="540"/>
      <c r="D24" s="290">
        <v>3.4590000000000005</v>
      </c>
      <c r="E24" s="290">
        <v>2.9650000000000003</v>
      </c>
      <c r="F24" s="290">
        <v>0.49399999999999999</v>
      </c>
      <c r="G24" s="290">
        <v>0</v>
      </c>
      <c r="H24" s="290"/>
      <c r="I24" s="290"/>
    </row>
    <row r="25" spans="1:9" ht="14.45" customHeight="1" x14ac:dyDescent="0.25">
      <c r="A25" s="540" t="s">
        <v>580</v>
      </c>
      <c r="B25" s="540"/>
      <c r="C25" s="540"/>
      <c r="D25" s="290">
        <v>2.3919999999999999</v>
      </c>
      <c r="E25" s="290">
        <v>2.3919999999999999</v>
      </c>
      <c r="F25" s="290">
        <v>0</v>
      </c>
      <c r="G25" s="290">
        <v>0</v>
      </c>
      <c r="H25" s="290">
        <v>0</v>
      </c>
      <c r="I25" s="290">
        <v>0</v>
      </c>
    </row>
    <row r="26" spans="1:9" x14ac:dyDescent="0.25">
      <c r="A26" s="540" t="s">
        <v>581</v>
      </c>
      <c r="B26" s="540"/>
      <c r="C26" s="540"/>
      <c r="D26" s="290">
        <v>16.548999999999999</v>
      </c>
      <c r="E26" s="290">
        <v>16.548999999999999</v>
      </c>
      <c r="F26" s="290">
        <v>0</v>
      </c>
      <c r="G26" s="290">
        <v>0</v>
      </c>
      <c r="H26" s="290">
        <v>0</v>
      </c>
      <c r="I26" s="290">
        <v>0</v>
      </c>
    </row>
    <row r="27" spans="1:9" x14ac:dyDescent="0.25">
      <c r="A27" s="540" t="s">
        <v>582</v>
      </c>
      <c r="B27" s="540"/>
      <c r="C27" s="540"/>
      <c r="D27" s="290">
        <v>58.629000000000005</v>
      </c>
      <c r="E27" s="290">
        <v>18.317</v>
      </c>
      <c r="F27" s="290">
        <v>0</v>
      </c>
      <c r="G27" s="290">
        <v>40.312000000000005</v>
      </c>
      <c r="H27" s="290">
        <v>0</v>
      </c>
      <c r="I27" s="290">
        <v>0</v>
      </c>
    </row>
    <row r="28" spans="1:9" ht="14.45" customHeight="1" x14ac:dyDescent="0.25">
      <c r="A28" s="540" t="s">
        <v>583</v>
      </c>
      <c r="B28" s="540"/>
      <c r="C28" s="540"/>
      <c r="D28" s="290">
        <v>0</v>
      </c>
      <c r="E28" s="290">
        <v>0</v>
      </c>
      <c r="F28" s="290">
        <v>0</v>
      </c>
      <c r="G28" s="290">
        <v>0</v>
      </c>
      <c r="H28" s="290">
        <v>0</v>
      </c>
      <c r="I28" s="290">
        <v>0</v>
      </c>
    </row>
    <row r="29" spans="1:9" ht="14.45" customHeight="1" x14ac:dyDescent="0.25">
      <c r="A29" s="540" t="s">
        <v>584</v>
      </c>
      <c r="B29" s="540"/>
      <c r="C29" s="540"/>
      <c r="D29" s="290">
        <v>0</v>
      </c>
      <c r="E29" s="290">
        <v>0</v>
      </c>
      <c r="F29" s="290">
        <v>0</v>
      </c>
      <c r="G29" s="290">
        <v>0</v>
      </c>
      <c r="H29" s="290">
        <v>0</v>
      </c>
      <c r="I29" s="290">
        <v>0</v>
      </c>
    </row>
    <row r="30" spans="1:9" ht="14.45" customHeight="1" x14ac:dyDescent="0.25">
      <c r="A30" s="542" t="s">
        <v>585</v>
      </c>
      <c r="B30" s="542"/>
      <c r="C30" s="542"/>
      <c r="D30" s="290">
        <v>111.20899999999999</v>
      </c>
      <c r="E30" s="290">
        <v>18.759</v>
      </c>
      <c r="F30" s="290">
        <v>0</v>
      </c>
      <c r="G30" s="290">
        <v>92.449999999999989</v>
      </c>
      <c r="H30" s="290">
        <v>0</v>
      </c>
      <c r="I30" s="290">
        <v>0</v>
      </c>
    </row>
    <row r="31" spans="1:9" ht="14.45" customHeight="1" x14ac:dyDescent="0.25">
      <c r="A31" s="540" t="s">
        <v>586</v>
      </c>
      <c r="B31" s="540"/>
      <c r="C31" s="540"/>
      <c r="D31" s="290">
        <v>495.22000000000008</v>
      </c>
      <c r="E31" s="290">
        <v>212.56700000000001</v>
      </c>
      <c r="F31" s="290">
        <v>6.7980000000000009</v>
      </c>
      <c r="G31" s="290">
        <v>275.85500000000008</v>
      </c>
      <c r="H31" s="290">
        <v>0</v>
      </c>
      <c r="I31" s="290">
        <v>0</v>
      </c>
    </row>
    <row r="32" spans="1:9" ht="14.45" customHeight="1" x14ac:dyDescent="0.25">
      <c r="A32" s="540" t="s">
        <v>587</v>
      </c>
      <c r="B32" s="540"/>
      <c r="C32" s="540"/>
      <c r="D32" s="290">
        <v>119.477</v>
      </c>
      <c r="E32" s="290">
        <v>94.741</v>
      </c>
      <c r="F32" s="290">
        <v>0</v>
      </c>
      <c r="G32" s="290">
        <v>24.736000000000001</v>
      </c>
      <c r="H32" s="290">
        <v>0</v>
      </c>
      <c r="I32" s="290">
        <v>0</v>
      </c>
    </row>
    <row r="33" spans="1:9" ht="14.45" customHeight="1" x14ac:dyDescent="0.25">
      <c r="A33" s="540" t="s">
        <v>588</v>
      </c>
      <c r="B33" s="540"/>
      <c r="C33" s="540"/>
      <c r="D33" s="290">
        <v>1.222</v>
      </c>
      <c r="E33" s="290">
        <v>0.82800000000000007</v>
      </c>
      <c r="F33" s="290">
        <v>0</v>
      </c>
      <c r="G33" s="290">
        <v>0.39400000000000002</v>
      </c>
      <c r="H33" s="290">
        <v>0</v>
      </c>
      <c r="I33" s="290">
        <v>0</v>
      </c>
    </row>
    <row r="34" spans="1:9" ht="14.45" customHeight="1" x14ac:dyDescent="0.25">
      <c r="A34" s="540" t="s">
        <v>589</v>
      </c>
      <c r="B34" s="540"/>
      <c r="C34" s="540"/>
      <c r="D34" s="290">
        <v>10.940000000000001</v>
      </c>
      <c r="E34" s="290">
        <v>0.46400000000000002</v>
      </c>
      <c r="F34" s="290">
        <v>0</v>
      </c>
      <c r="G34" s="290">
        <v>10.476000000000001</v>
      </c>
      <c r="H34" s="290">
        <v>0</v>
      </c>
      <c r="I34" s="290">
        <v>0</v>
      </c>
    </row>
    <row r="35" spans="1:9" x14ac:dyDescent="0.25">
      <c r="A35" s="540" t="s">
        <v>590</v>
      </c>
      <c r="B35" s="540"/>
      <c r="C35" s="540"/>
      <c r="D35" s="290">
        <v>1.7999999999999999E-2</v>
      </c>
      <c r="E35" s="290">
        <v>0</v>
      </c>
      <c r="F35" s="290">
        <v>0</v>
      </c>
      <c r="G35" s="290">
        <v>1.7999999999999999E-2</v>
      </c>
      <c r="H35" s="290">
        <v>0</v>
      </c>
      <c r="I35" s="290">
        <v>0</v>
      </c>
    </row>
    <row r="36" spans="1:9" x14ac:dyDescent="0.25">
      <c r="A36" s="540" t="s">
        <v>591</v>
      </c>
      <c r="B36" s="540"/>
      <c r="C36" s="540"/>
      <c r="D36" s="290">
        <v>2.8200000000000003</v>
      </c>
      <c r="E36" s="290">
        <v>8.7999999999999995E-2</v>
      </c>
      <c r="F36" s="290">
        <v>0</v>
      </c>
      <c r="G36" s="290">
        <v>2.7320000000000002</v>
      </c>
      <c r="H36" s="290">
        <v>0</v>
      </c>
      <c r="I36" s="290">
        <v>0</v>
      </c>
    </row>
    <row r="37" spans="1:9" ht="14.45" customHeight="1" x14ac:dyDescent="0.25">
      <c r="A37" s="543" t="s">
        <v>575</v>
      </c>
      <c r="B37" s="543"/>
      <c r="C37" s="543"/>
      <c r="D37" s="291">
        <f t="shared" ref="D37:I37" si="2">+SUM(D22:D36)</f>
        <v>915.39300000000026</v>
      </c>
      <c r="E37" s="291">
        <f t="shared" si="2"/>
        <v>408.22800000000001</v>
      </c>
      <c r="F37" s="291">
        <f t="shared" si="2"/>
        <v>7.3970000000000011</v>
      </c>
      <c r="G37" s="291">
        <f t="shared" si="2"/>
        <v>499.76800000000003</v>
      </c>
      <c r="H37" s="291">
        <f t="shared" si="2"/>
        <v>0</v>
      </c>
      <c r="I37" s="291">
        <f t="shared" si="2"/>
        <v>0</v>
      </c>
    </row>
    <row r="38" spans="1:9" ht="14.45" customHeight="1" x14ac:dyDescent="0.25">
      <c r="A38" s="538" t="s">
        <v>592</v>
      </c>
      <c r="B38" s="538"/>
      <c r="C38" s="538"/>
      <c r="D38" s="293"/>
      <c r="E38" s="293"/>
      <c r="F38" s="293"/>
      <c r="G38" s="293"/>
      <c r="H38" s="293"/>
      <c r="I38" s="293"/>
    </row>
    <row r="39" spans="1:9" x14ac:dyDescent="0.25">
      <c r="A39" s="540" t="s">
        <v>593</v>
      </c>
      <c r="B39" s="540"/>
      <c r="C39" s="540"/>
      <c r="D39" s="290">
        <v>1191.79</v>
      </c>
      <c r="E39" s="290">
        <v>50.286000000000001</v>
      </c>
      <c r="F39" s="290">
        <v>0</v>
      </c>
      <c r="G39" s="290">
        <v>1141.5039999999999</v>
      </c>
      <c r="H39" s="290">
        <v>0</v>
      </c>
      <c r="I39" s="290">
        <v>0</v>
      </c>
    </row>
    <row r="40" spans="1:9" ht="15.75" customHeight="1" x14ac:dyDescent="0.25">
      <c r="A40" s="542" t="s">
        <v>594</v>
      </c>
      <c r="B40" s="542"/>
      <c r="C40" s="542"/>
      <c r="D40" s="290">
        <v>0</v>
      </c>
      <c r="E40" s="290">
        <v>0</v>
      </c>
      <c r="F40" s="290">
        <v>0</v>
      </c>
      <c r="G40" s="290">
        <v>0</v>
      </c>
      <c r="H40" s="290">
        <v>0</v>
      </c>
      <c r="I40" s="290">
        <v>0</v>
      </c>
    </row>
    <row r="41" spans="1:9" x14ac:dyDescent="0.25">
      <c r="A41" s="540" t="s">
        <v>595</v>
      </c>
      <c r="B41" s="540"/>
      <c r="C41" s="540"/>
      <c r="D41" s="290">
        <v>1264.8599999999999</v>
      </c>
      <c r="E41" s="290">
        <v>0</v>
      </c>
      <c r="F41" s="290">
        <v>0</v>
      </c>
      <c r="G41" s="290">
        <v>0</v>
      </c>
      <c r="H41" s="290">
        <v>1264.8599999999999</v>
      </c>
      <c r="I41" s="290">
        <v>0</v>
      </c>
    </row>
    <row r="42" spans="1:9" ht="14.45" customHeight="1" x14ac:dyDescent="0.25">
      <c r="A42" s="540" t="s">
        <v>596</v>
      </c>
      <c r="B42" s="540"/>
      <c r="C42" s="540"/>
      <c r="D42" s="290">
        <v>0</v>
      </c>
      <c r="E42" s="290">
        <v>0</v>
      </c>
      <c r="F42" s="290">
        <v>0</v>
      </c>
      <c r="G42" s="290">
        <v>0</v>
      </c>
      <c r="H42" s="290">
        <v>0</v>
      </c>
      <c r="I42" s="290">
        <v>0</v>
      </c>
    </row>
    <row r="43" spans="1:9" ht="14.45" customHeight="1" x14ac:dyDescent="0.25">
      <c r="A43" s="540" t="s">
        <v>597</v>
      </c>
      <c r="B43" s="540"/>
      <c r="C43" s="540"/>
      <c r="D43" s="290">
        <v>5.6829999999999998</v>
      </c>
      <c r="E43" s="290">
        <v>0</v>
      </c>
      <c r="F43" s="290">
        <v>0</v>
      </c>
      <c r="G43" s="290">
        <v>5.6829999999999998</v>
      </c>
      <c r="H43" s="290">
        <v>0</v>
      </c>
      <c r="I43" s="290">
        <v>0</v>
      </c>
    </row>
    <row r="44" spans="1:9" x14ac:dyDescent="0.25">
      <c r="A44" s="540" t="s">
        <v>598</v>
      </c>
      <c r="B44" s="540"/>
      <c r="C44" s="540"/>
      <c r="D44" s="290">
        <v>162.06</v>
      </c>
      <c r="E44" s="290">
        <v>0</v>
      </c>
      <c r="F44" s="290">
        <v>0</v>
      </c>
      <c r="G44" s="290">
        <v>0</v>
      </c>
      <c r="H44" s="290">
        <v>162.06</v>
      </c>
      <c r="I44" s="290">
        <v>0</v>
      </c>
    </row>
    <row r="45" spans="1:9" ht="14.45" customHeight="1" x14ac:dyDescent="0.25">
      <c r="A45" s="540" t="s">
        <v>599</v>
      </c>
      <c r="B45" s="540"/>
      <c r="C45" s="540"/>
      <c r="D45" s="290">
        <v>825.13099999999997</v>
      </c>
      <c r="E45" s="290">
        <v>109.851</v>
      </c>
      <c r="F45" s="290">
        <v>44.335999999999999</v>
      </c>
      <c r="G45" s="290">
        <v>199.184</v>
      </c>
      <c r="H45" s="290">
        <v>471.76</v>
      </c>
      <c r="I45" s="290">
        <v>0</v>
      </c>
    </row>
    <row r="46" spans="1:9" ht="14.45" customHeight="1" x14ac:dyDescent="0.25">
      <c r="A46" s="540" t="s">
        <v>600</v>
      </c>
      <c r="B46" s="540"/>
      <c r="C46" s="540"/>
      <c r="D46" s="290">
        <v>6408.8190999999997</v>
      </c>
      <c r="E46" s="290">
        <v>2027.4029999999998</v>
      </c>
      <c r="F46" s="290">
        <v>76.792000000000002</v>
      </c>
      <c r="G46" s="290">
        <v>3790.4240999999997</v>
      </c>
      <c r="H46" s="290">
        <v>514.20000000000005</v>
      </c>
      <c r="I46" s="290">
        <v>0</v>
      </c>
    </row>
    <row r="47" spans="1:9" ht="14.45" customHeight="1" x14ac:dyDescent="0.25">
      <c r="A47" s="540" t="s">
        <v>601</v>
      </c>
      <c r="B47" s="540"/>
      <c r="C47" s="540"/>
      <c r="D47" s="290">
        <v>8.1000000000000003E-2</v>
      </c>
      <c r="E47" s="290">
        <v>8.1000000000000003E-2</v>
      </c>
      <c r="F47" s="290"/>
      <c r="G47" s="290"/>
      <c r="H47" s="290"/>
      <c r="I47" s="290"/>
    </row>
    <row r="48" spans="1:9" ht="14.45" customHeight="1" x14ac:dyDescent="0.25">
      <c r="A48" s="540" t="s">
        <v>602</v>
      </c>
      <c r="B48" s="540"/>
      <c r="C48" s="540"/>
      <c r="D48" s="290">
        <v>6207.2730000000001</v>
      </c>
      <c r="E48" s="290">
        <v>2311.1270000000004</v>
      </c>
      <c r="F48" s="290">
        <v>341.46299999999997</v>
      </c>
      <c r="G48" s="290">
        <v>3554.683</v>
      </c>
      <c r="H48" s="290">
        <v>0</v>
      </c>
      <c r="I48" s="290">
        <v>0</v>
      </c>
    </row>
    <row r="49" spans="1:9" ht="14.45" customHeight="1" x14ac:dyDescent="0.25">
      <c r="A49" s="543" t="s">
        <v>575</v>
      </c>
      <c r="B49" s="543"/>
      <c r="C49" s="543"/>
      <c r="D49" s="291">
        <f t="shared" ref="D49:I49" si="3">+SUM(D39:D48)</f>
        <v>16065.697099999998</v>
      </c>
      <c r="E49" s="291">
        <f t="shared" si="3"/>
        <v>4498.7480000000005</v>
      </c>
      <c r="F49" s="291">
        <f t="shared" si="3"/>
        <v>462.59099999999995</v>
      </c>
      <c r="G49" s="291">
        <f t="shared" si="3"/>
        <v>8691.4781000000003</v>
      </c>
      <c r="H49" s="291">
        <f t="shared" si="3"/>
        <v>2412.88</v>
      </c>
      <c r="I49" s="291">
        <f t="shared" si="3"/>
        <v>0</v>
      </c>
    </row>
    <row r="50" spans="1:9" ht="14.45" customHeight="1" x14ac:dyDescent="0.25">
      <c r="A50" s="544" t="s">
        <v>603</v>
      </c>
      <c r="B50" s="544"/>
      <c r="C50" s="544"/>
      <c r="D50" s="296">
        <f t="shared" ref="D50:I50" si="4">+D49+D37+D20</f>
        <v>20785.344099999995</v>
      </c>
      <c r="E50" s="296">
        <f t="shared" si="4"/>
        <v>6223.706000000001</v>
      </c>
      <c r="F50" s="296">
        <f t="shared" si="4"/>
        <v>1040.3309999999999</v>
      </c>
      <c r="G50" s="296">
        <f t="shared" si="4"/>
        <v>10589.2271</v>
      </c>
      <c r="H50" s="296">
        <f t="shared" si="4"/>
        <v>2932.08</v>
      </c>
      <c r="I50" s="296">
        <f t="shared" si="4"/>
        <v>0</v>
      </c>
    </row>
    <row r="51" spans="1:9" x14ac:dyDescent="0.25">
      <c r="A51" s="297"/>
      <c r="B51" s="297"/>
      <c r="C51" s="297"/>
      <c r="D51" s="298"/>
      <c r="E51" s="298"/>
      <c r="F51" s="298"/>
      <c r="G51" s="298"/>
      <c r="H51" s="298"/>
      <c r="I51" s="298"/>
    </row>
    <row r="52" spans="1:9" x14ac:dyDescent="0.25">
      <c r="A52" s="545" t="s">
        <v>604</v>
      </c>
      <c r="B52" s="545"/>
      <c r="C52" s="545"/>
      <c r="D52" s="299">
        <f t="shared" ref="D52:I52" si="5">+D50+D4</f>
        <v>45405.997149999996</v>
      </c>
      <c r="E52" s="299">
        <f t="shared" si="5"/>
        <v>6223.706000000001</v>
      </c>
      <c r="F52" s="299">
        <f t="shared" si="5"/>
        <v>3055.4039999999995</v>
      </c>
      <c r="G52" s="299">
        <f t="shared" si="5"/>
        <v>12724.4031</v>
      </c>
      <c r="H52" s="299">
        <f t="shared" si="5"/>
        <v>23402.484049999999</v>
      </c>
      <c r="I52" s="299">
        <f t="shared" si="5"/>
        <v>0</v>
      </c>
    </row>
  </sheetData>
  <mergeCells count="51">
    <mergeCell ref="A49:C49"/>
    <mergeCell ref="A50:C50"/>
    <mergeCell ref="A52:C52"/>
    <mergeCell ref="A43:C43"/>
    <mergeCell ref="A44:C44"/>
    <mergeCell ref="A45:C45"/>
    <mergeCell ref="A46:C46"/>
    <mergeCell ref="A47:C47"/>
    <mergeCell ref="A48:C48"/>
    <mergeCell ref="A42:C42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30:C30"/>
    <mergeCell ref="A19:C19"/>
    <mergeCell ref="A20:B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scale="84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2:L50"/>
  <sheetViews>
    <sheetView view="pageBreakPreview" topLeftCell="A31" zoomScaleNormal="100" zoomScaleSheetLayoutView="100" workbookViewId="0">
      <selection activeCell="K14" sqref="K14"/>
    </sheetView>
  </sheetViews>
  <sheetFormatPr baseColWidth="10" defaultColWidth="11.42578125" defaultRowHeight="11.25" x14ac:dyDescent="0.2"/>
  <cols>
    <col min="1" max="1" width="35.5703125" style="242" customWidth="1"/>
    <col min="2" max="7" width="11.42578125" style="232"/>
    <col min="8" max="8" width="11.42578125" style="152"/>
    <col min="9" max="9" width="23.140625" style="152" customWidth="1"/>
    <col min="10" max="10" width="19.140625" style="152" customWidth="1"/>
    <col min="11" max="16384" width="11.42578125" style="152"/>
  </cols>
  <sheetData>
    <row r="2" spans="1:12" ht="24" x14ac:dyDescent="0.2">
      <c r="A2" s="301" t="s">
        <v>605</v>
      </c>
      <c r="B2" s="301" t="s">
        <v>47</v>
      </c>
      <c r="C2" s="301" t="s">
        <v>606</v>
      </c>
      <c r="D2" s="301" t="s">
        <v>607</v>
      </c>
      <c r="E2" s="301" t="s">
        <v>608</v>
      </c>
      <c r="F2" s="301" t="s">
        <v>609</v>
      </c>
      <c r="G2" s="301" t="s">
        <v>610</v>
      </c>
      <c r="I2" s="302" t="s">
        <v>611</v>
      </c>
      <c r="J2" s="302" t="s">
        <v>612</v>
      </c>
      <c r="K2" s="302" t="s">
        <v>613</v>
      </c>
      <c r="L2" s="302" t="s">
        <v>614</v>
      </c>
    </row>
    <row r="3" spans="1:12" ht="15" x14ac:dyDescent="0.25">
      <c r="A3" s="303" t="s">
        <v>615</v>
      </c>
      <c r="B3" s="304"/>
      <c r="C3" s="304"/>
      <c r="D3" s="304"/>
      <c r="E3" s="304"/>
      <c r="F3" s="304"/>
      <c r="G3" s="304"/>
      <c r="I3" s="305" t="s">
        <v>616</v>
      </c>
      <c r="J3" s="306">
        <f>+B4</f>
        <v>542.99099371428565</v>
      </c>
      <c r="K3" s="307">
        <f>+J3/365</f>
        <v>1.4876465581213305</v>
      </c>
      <c r="L3" s="308">
        <f>+K3/$K$10</f>
        <v>1.4050940358064453E-2</v>
      </c>
    </row>
    <row r="4" spans="1:12" ht="12" customHeight="1" x14ac:dyDescent="0.25">
      <c r="A4" s="309" t="s">
        <v>577</v>
      </c>
      <c r="B4" s="310">
        <v>542.99099371428565</v>
      </c>
      <c r="C4" s="310">
        <v>0</v>
      </c>
      <c r="D4" s="310">
        <v>0</v>
      </c>
      <c r="E4" s="310">
        <v>0</v>
      </c>
      <c r="F4" s="310">
        <v>542.99099371428565</v>
      </c>
      <c r="G4" s="310">
        <v>0</v>
      </c>
      <c r="I4" s="311" t="s">
        <v>617</v>
      </c>
      <c r="J4" s="306">
        <f>+B5+B6+B7+B8+B9+B10+B11+B12+B13</f>
        <v>14126.436242738093</v>
      </c>
      <c r="K4" s="307">
        <f t="shared" ref="K4:K10" si="0">+J4/365</f>
        <v>38.702565048597513</v>
      </c>
      <c r="L4" s="308">
        <f t="shared" ref="L4:L9" si="1">+K4/$K$10</f>
        <v>0.365548812809878</v>
      </c>
    </row>
    <row r="5" spans="1:12" ht="12" customHeight="1" x14ac:dyDescent="0.25">
      <c r="A5" s="309" t="s">
        <v>618</v>
      </c>
      <c r="B5" s="310">
        <v>830.2165</v>
      </c>
      <c r="C5" s="312">
        <v>0</v>
      </c>
      <c r="D5" s="310">
        <v>0</v>
      </c>
      <c r="E5" s="310">
        <v>410.27499999999992</v>
      </c>
      <c r="F5" s="312">
        <v>419.94150000000002</v>
      </c>
      <c r="G5" s="312">
        <v>0</v>
      </c>
      <c r="I5" s="311" t="s">
        <v>619</v>
      </c>
      <c r="J5" s="306">
        <f>+B15+B16</f>
        <v>1634.6020066666665</v>
      </c>
      <c r="K5" s="307">
        <f t="shared" si="0"/>
        <v>4.4783616621004558</v>
      </c>
      <c r="L5" s="308">
        <f t="shared" si="1"/>
        <v>4.2298482978027227E-2</v>
      </c>
    </row>
    <row r="6" spans="1:12" ht="12" customHeight="1" x14ac:dyDescent="0.25">
      <c r="A6" s="309" t="s">
        <v>620</v>
      </c>
      <c r="B6" s="310">
        <v>1497.778</v>
      </c>
      <c r="C6" s="230">
        <v>89.194000000000003</v>
      </c>
      <c r="D6" s="310">
        <v>0</v>
      </c>
      <c r="E6" s="230">
        <v>1408.5840000000001</v>
      </c>
      <c r="F6" s="312">
        <v>0</v>
      </c>
      <c r="G6" s="312">
        <v>0</v>
      </c>
      <c r="I6" s="311" t="s">
        <v>621</v>
      </c>
      <c r="J6" s="306">
        <f>+B18+B19</f>
        <v>17399.427015714286</v>
      </c>
      <c r="K6" s="307">
        <f t="shared" si="0"/>
        <v>47.669663056751467</v>
      </c>
      <c r="L6" s="308">
        <f t="shared" si="1"/>
        <v>0.45024376848308817</v>
      </c>
    </row>
    <row r="7" spans="1:12" ht="12" customHeight="1" x14ac:dyDescent="0.25">
      <c r="A7" s="309" t="s">
        <v>622</v>
      </c>
      <c r="B7" s="310">
        <v>5353.1689999999999</v>
      </c>
      <c r="C7" s="230">
        <v>2107.9790000000003</v>
      </c>
      <c r="D7" s="310">
        <v>148.30600000000001</v>
      </c>
      <c r="E7" s="230">
        <v>3096.884</v>
      </c>
      <c r="F7" s="312">
        <v>0</v>
      </c>
      <c r="G7" s="230">
        <v>0</v>
      </c>
      <c r="I7" s="311" t="s">
        <v>623</v>
      </c>
      <c r="J7" s="306">
        <f>+B21+B22</f>
        <v>1984.3643671428572</v>
      </c>
      <c r="K7" s="307">
        <f t="shared" si="0"/>
        <v>5.4366147045009789</v>
      </c>
      <c r="L7" s="308">
        <f t="shared" si="1"/>
        <v>5.1349259369233333E-2</v>
      </c>
    </row>
    <row r="8" spans="1:12" ht="12" customHeight="1" x14ac:dyDescent="0.25">
      <c r="A8" s="309" t="s">
        <v>624</v>
      </c>
      <c r="B8" s="310">
        <v>1698.2520000000002</v>
      </c>
      <c r="C8" s="230">
        <v>1089.7050000000002</v>
      </c>
      <c r="D8" s="310">
        <v>405.48099999999999</v>
      </c>
      <c r="E8" s="230">
        <v>203.06599999999997</v>
      </c>
      <c r="F8" s="312">
        <v>0</v>
      </c>
      <c r="G8" s="312">
        <v>0</v>
      </c>
      <c r="I8" s="311" t="s">
        <v>625</v>
      </c>
      <c r="J8" s="306">
        <f>+B20+B17</f>
        <v>2131.5578299999997</v>
      </c>
      <c r="K8" s="307">
        <f t="shared" si="0"/>
        <v>5.8398844657534239</v>
      </c>
      <c r="L8" s="308">
        <f t="shared" si="1"/>
        <v>5.5158174418735877E-2</v>
      </c>
    </row>
    <row r="9" spans="1:12" ht="12" customHeight="1" x14ac:dyDescent="0.25">
      <c r="A9" s="309" t="s">
        <v>626</v>
      </c>
      <c r="B9" s="310">
        <v>398.65000000000003</v>
      </c>
      <c r="C9" s="312">
        <v>0</v>
      </c>
      <c r="D9" s="312">
        <v>0</v>
      </c>
      <c r="E9" s="312">
        <v>0</v>
      </c>
      <c r="F9" s="230">
        <v>398.65000000000003</v>
      </c>
      <c r="G9" s="312">
        <v>0</v>
      </c>
      <c r="I9" s="311" t="s">
        <v>627</v>
      </c>
      <c r="J9" s="306">
        <f>+B23+B24+B25+B26</f>
        <v>825.08090952380951</v>
      </c>
      <c r="K9" s="307">
        <f t="shared" si="0"/>
        <v>2.260495642530985</v>
      </c>
      <c r="L9" s="308">
        <f t="shared" si="1"/>
        <v>2.1350561582973111E-2</v>
      </c>
    </row>
    <row r="10" spans="1:12" ht="12" customHeight="1" x14ac:dyDescent="0.2">
      <c r="A10" s="309" t="s">
        <v>628</v>
      </c>
      <c r="B10" s="310">
        <v>449.82702333333339</v>
      </c>
      <c r="C10" s="312">
        <v>0</v>
      </c>
      <c r="D10" s="312">
        <v>0</v>
      </c>
      <c r="E10" s="312">
        <v>0</v>
      </c>
      <c r="F10" s="230">
        <v>449.82702333333339</v>
      </c>
      <c r="G10" s="312">
        <v>0</v>
      </c>
      <c r="I10" s="313" t="s">
        <v>393</v>
      </c>
      <c r="J10" s="314">
        <f>+SUM(J3:J9)</f>
        <v>38644.459365499992</v>
      </c>
      <c r="K10" s="315">
        <f t="shared" si="0"/>
        <v>105.87523113835614</v>
      </c>
      <c r="L10" s="316">
        <f>+SUM(L3:L9)</f>
        <v>1.0000000000000002</v>
      </c>
    </row>
    <row r="11" spans="1:12" ht="12" customHeight="1" x14ac:dyDescent="0.2">
      <c r="A11" s="309" t="s">
        <v>629</v>
      </c>
      <c r="B11" s="310">
        <v>1039.3373808333333</v>
      </c>
      <c r="C11" s="312">
        <v>0</v>
      </c>
      <c r="D11" s="312">
        <v>0</v>
      </c>
      <c r="E11" s="312">
        <v>0</v>
      </c>
      <c r="F11" s="230">
        <v>1039.3373808333333</v>
      </c>
      <c r="G11" s="312">
        <v>0</v>
      </c>
      <c r="J11" s="176"/>
    </row>
    <row r="12" spans="1:12" ht="12" customHeight="1" x14ac:dyDescent="0.2">
      <c r="A12" s="309" t="s">
        <v>630</v>
      </c>
      <c r="B12" s="310">
        <v>2480.455879047619</v>
      </c>
      <c r="C12" s="312">
        <v>0</v>
      </c>
      <c r="D12" s="312">
        <v>0</v>
      </c>
      <c r="E12" s="312">
        <v>0</v>
      </c>
      <c r="F12" s="310">
        <v>2480.455879047619</v>
      </c>
      <c r="G12" s="312">
        <v>0</v>
      </c>
    </row>
    <row r="13" spans="1:12" ht="12" customHeight="1" x14ac:dyDescent="0.2">
      <c r="A13" s="309" t="s">
        <v>631</v>
      </c>
      <c r="B13" s="310">
        <v>378.75045952380952</v>
      </c>
      <c r="C13" s="312">
        <v>0</v>
      </c>
      <c r="D13" s="312">
        <v>0</v>
      </c>
      <c r="E13" s="312">
        <v>0</v>
      </c>
      <c r="F13" s="310">
        <v>378.75045952380952</v>
      </c>
      <c r="G13" s="312">
        <v>0</v>
      </c>
    </row>
    <row r="14" spans="1:12" ht="12" customHeight="1" x14ac:dyDescent="0.2">
      <c r="A14" s="309" t="s">
        <v>601</v>
      </c>
      <c r="B14" s="310">
        <v>227.49</v>
      </c>
      <c r="C14" s="312">
        <v>0</v>
      </c>
      <c r="D14" s="312">
        <v>0</v>
      </c>
      <c r="E14" s="312">
        <v>0</v>
      </c>
      <c r="F14" s="310">
        <v>227.49</v>
      </c>
      <c r="G14" s="312"/>
    </row>
    <row r="15" spans="1:12" ht="12" customHeight="1" x14ac:dyDescent="0.2">
      <c r="A15" s="309" t="s">
        <v>632</v>
      </c>
      <c r="B15" s="310">
        <v>1634.6020066666665</v>
      </c>
      <c r="C15" s="310">
        <v>5.5E-2</v>
      </c>
      <c r="D15" s="310">
        <v>49.186</v>
      </c>
      <c r="E15" s="312">
        <v>0</v>
      </c>
      <c r="F15" s="310">
        <v>1585.3610066666665</v>
      </c>
      <c r="G15" s="310">
        <v>0</v>
      </c>
    </row>
    <row r="16" spans="1:12" ht="12" customHeight="1" x14ac:dyDescent="0.2">
      <c r="A16" s="309" t="s">
        <v>633</v>
      </c>
      <c r="B16" s="312">
        <v>0</v>
      </c>
      <c r="C16" s="312">
        <v>0</v>
      </c>
      <c r="D16" s="312">
        <v>0</v>
      </c>
      <c r="E16" s="312">
        <v>0</v>
      </c>
      <c r="F16" s="312">
        <v>0</v>
      </c>
      <c r="G16" s="312">
        <v>0</v>
      </c>
    </row>
    <row r="17" spans="1:7" ht="12" customHeight="1" x14ac:dyDescent="0.2">
      <c r="A17" s="309" t="s">
        <v>634</v>
      </c>
      <c r="B17" s="310">
        <v>133.84700000000001</v>
      </c>
      <c r="C17" s="310">
        <v>38.292999999999999</v>
      </c>
      <c r="D17" s="312">
        <v>0.14399999999999999</v>
      </c>
      <c r="E17" s="312">
        <v>0</v>
      </c>
      <c r="F17" s="312">
        <v>95.410000000000011</v>
      </c>
      <c r="G17" s="312">
        <v>0</v>
      </c>
    </row>
    <row r="18" spans="1:7" ht="12" customHeight="1" x14ac:dyDescent="0.2">
      <c r="A18" s="309" t="s">
        <v>635</v>
      </c>
      <c r="B18" s="310">
        <v>1267.232</v>
      </c>
      <c r="C18" s="310">
        <v>484.86899999999997</v>
      </c>
      <c r="D18" s="310">
        <v>782.36300000000006</v>
      </c>
      <c r="E18" s="312">
        <v>0</v>
      </c>
      <c r="F18" s="312">
        <v>0</v>
      </c>
      <c r="G18" s="312">
        <v>0</v>
      </c>
    </row>
    <row r="19" spans="1:7" ht="12" customHeight="1" x14ac:dyDescent="0.2">
      <c r="A19" s="309" t="s">
        <v>636</v>
      </c>
      <c r="B19" s="310">
        <v>16132.195015714286</v>
      </c>
      <c r="C19" s="310">
        <v>1866.4159999999999</v>
      </c>
      <c r="D19" s="312">
        <v>0</v>
      </c>
      <c r="E19" s="230">
        <v>3774.7530000000002</v>
      </c>
      <c r="F19" s="310">
        <v>10491.026015714286</v>
      </c>
      <c r="G19" s="312">
        <v>0</v>
      </c>
    </row>
    <row r="20" spans="1:7" ht="12" customHeight="1" x14ac:dyDescent="0.2">
      <c r="A20" s="309" t="s">
        <v>637</v>
      </c>
      <c r="B20" s="310">
        <v>1997.7108299999998</v>
      </c>
      <c r="C20" s="310">
        <v>0</v>
      </c>
      <c r="D20" s="230">
        <v>0</v>
      </c>
      <c r="E20" s="310">
        <v>766.60099999999989</v>
      </c>
      <c r="F20" s="310">
        <v>1231.1098299999999</v>
      </c>
      <c r="G20" s="312">
        <v>0</v>
      </c>
    </row>
    <row r="21" spans="1:7" ht="12" customHeight="1" x14ac:dyDescent="0.2">
      <c r="A21" s="309" t="s">
        <v>638</v>
      </c>
      <c r="B21" s="310">
        <v>1676.6649</v>
      </c>
      <c r="C21" s="310">
        <v>287.08100000000002</v>
      </c>
      <c r="D21" s="230">
        <v>478.83400000000006</v>
      </c>
      <c r="E21" s="310">
        <v>719.01999999999987</v>
      </c>
      <c r="F21" s="230">
        <v>191.72990000000001</v>
      </c>
      <c r="G21" s="230">
        <v>0</v>
      </c>
    </row>
    <row r="22" spans="1:7" x14ac:dyDescent="0.2">
      <c r="A22" s="309" t="s">
        <v>639</v>
      </c>
      <c r="B22" s="310">
        <v>307.69946714285709</v>
      </c>
      <c r="C22" s="310">
        <v>0</v>
      </c>
      <c r="D22" s="312">
        <v>0</v>
      </c>
      <c r="E22" s="310">
        <v>150.54</v>
      </c>
      <c r="F22" s="310">
        <v>157.15946714285712</v>
      </c>
      <c r="G22" s="312">
        <v>0</v>
      </c>
    </row>
    <row r="23" spans="1:7" x14ac:dyDescent="0.2">
      <c r="A23" s="309" t="s">
        <v>640</v>
      </c>
      <c r="B23" s="310">
        <v>73.802980952380949</v>
      </c>
      <c r="C23" s="310">
        <v>0.35800000000000004</v>
      </c>
      <c r="D23" s="312">
        <v>0</v>
      </c>
      <c r="E23" s="310">
        <v>57.622</v>
      </c>
      <c r="F23" s="310">
        <v>15.822980952380952</v>
      </c>
      <c r="G23" s="312">
        <v>0</v>
      </c>
    </row>
    <row r="24" spans="1:7" x14ac:dyDescent="0.2">
      <c r="A24" s="309" t="s">
        <v>641</v>
      </c>
      <c r="B24" s="310">
        <v>659.75492857142854</v>
      </c>
      <c r="C24" s="310">
        <v>0.17200000000000001</v>
      </c>
      <c r="D24" s="312">
        <v>0</v>
      </c>
      <c r="E24" s="310">
        <v>357.61599999999999</v>
      </c>
      <c r="F24" s="230">
        <v>301.96692857142858</v>
      </c>
      <c r="G24" s="312">
        <v>0</v>
      </c>
    </row>
    <row r="25" spans="1:7" x14ac:dyDescent="0.2">
      <c r="A25" s="309" t="s">
        <v>590</v>
      </c>
      <c r="B25" s="310">
        <v>22.855</v>
      </c>
      <c r="C25" s="310">
        <v>0</v>
      </c>
      <c r="D25" s="312">
        <v>0</v>
      </c>
      <c r="E25" s="310">
        <v>22.855</v>
      </c>
      <c r="F25" s="312">
        <v>0</v>
      </c>
      <c r="G25" s="310">
        <v>0</v>
      </c>
    </row>
    <row r="26" spans="1:7" x14ac:dyDescent="0.2">
      <c r="A26" s="309" t="s">
        <v>591</v>
      </c>
      <c r="B26" s="310">
        <v>68.668000000000006</v>
      </c>
      <c r="C26" s="310">
        <v>0.01</v>
      </c>
      <c r="D26" s="312">
        <v>0</v>
      </c>
      <c r="E26" s="310">
        <v>68.658000000000001</v>
      </c>
      <c r="F26" s="312">
        <v>0</v>
      </c>
      <c r="G26" s="312">
        <v>0</v>
      </c>
    </row>
    <row r="27" spans="1:7" x14ac:dyDescent="0.2">
      <c r="A27" s="317" t="s">
        <v>575</v>
      </c>
      <c r="B27" s="318">
        <f t="shared" ref="B27:G27" si="2">+SUM(B4:B26)</f>
        <v>38871.949365499997</v>
      </c>
      <c r="C27" s="318">
        <f t="shared" si="2"/>
        <v>5964.1320000000005</v>
      </c>
      <c r="D27" s="318">
        <f t="shared" si="2"/>
        <v>1864.3140000000001</v>
      </c>
      <c r="E27" s="318">
        <f t="shared" si="2"/>
        <v>11036.474</v>
      </c>
      <c r="F27" s="318">
        <f t="shared" si="2"/>
        <v>20007.029365499999</v>
      </c>
      <c r="G27" s="318">
        <f t="shared" si="2"/>
        <v>0</v>
      </c>
    </row>
    <row r="28" spans="1:7" x14ac:dyDescent="0.2">
      <c r="A28" s="319" t="s">
        <v>642</v>
      </c>
      <c r="B28" s="320"/>
      <c r="C28" s="320"/>
      <c r="D28" s="320"/>
      <c r="E28" s="320"/>
      <c r="F28" s="320"/>
      <c r="G28" s="320"/>
    </row>
    <row r="29" spans="1:7" ht="14.25" customHeight="1" x14ac:dyDescent="0.2">
      <c r="A29" s="321" t="s">
        <v>643</v>
      </c>
      <c r="B29" s="310">
        <v>316.55666999999994</v>
      </c>
      <c r="C29" s="310">
        <v>0</v>
      </c>
      <c r="D29" s="310">
        <v>4.4409999999999998</v>
      </c>
      <c r="E29" s="310">
        <v>6.1829999999999998</v>
      </c>
      <c r="F29" s="310">
        <v>305.93266999999992</v>
      </c>
      <c r="G29" s="230">
        <v>0</v>
      </c>
    </row>
    <row r="30" spans="1:7" x14ac:dyDescent="0.2">
      <c r="A30" s="321" t="s">
        <v>644</v>
      </c>
      <c r="B30" s="310">
        <v>0</v>
      </c>
      <c r="C30" s="310">
        <v>0</v>
      </c>
      <c r="D30" s="312">
        <v>0</v>
      </c>
      <c r="E30" s="312">
        <v>0</v>
      </c>
      <c r="F30" s="312">
        <v>0</v>
      </c>
      <c r="G30" s="312">
        <v>0</v>
      </c>
    </row>
    <row r="31" spans="1:7" x14ac:dyDescent="0.2">
      <c r="A31" s="321" t="s">
        <v>562</v>
      </c>
      <c r="B31" s="310">
        <v>313.06407000000002</v>
      </c>
      <c r="C31" s="310">
        <v>5.2560000000000002</v>
      </c>
      <c r="D31" s="310">
        <v>115.21399999999998</v>
      </c>
      <c r="E31" s="312">
        <v>35.853999999999999</v>
      </c>
      <c r="F31" s="312">
        <v>156.74007</v>
      </c>
      <c r="G31" s="312">
        <v>0</v>
      </c>
    </row>
    <row r="32" spans="1:7" x14ac:dyDescent="0.2">
      <c r="A32" s="321" t="s">
        <v>563</v>
      </c>
      <c r="B32" s="310">
        <v>7.3770000000000007</v>
      </c>
      <c r="C32" s="310">
        <v>0.751</v>
      </c>
      <c r="D32" s="312">
        <v>0</v>
      </c>
      <c r="E32" s="310">
        <v>6.6260000000000003</v>
      </c>
      <c r="F32" s="312">
        <v>0</v>
      </c>
      <c r="G32" s="312">
        <v>0</v>
      </c>
    </row>
    <row r="33" spans="1:7" x14ac:dyDescent="0.2">
      <c r="A33" s="321" t="s">
        <v>564</v>
      </c>
      <c r="B33" s="310">
        <v>1.3839999999999999</v>
      </c>
      <c r="C33" s="310">
        <v>1.3839999999999999</v>
      </c>
      <c r="D33" s="312">
        <v>0</v>
      </c>
      <c r="E33" s="312">
        <v>0</v>
      </c>
      <c r="F33" s="312">
        <v>0</v>
      </c>
      <c r="G33" s="312">
        <v>0</v>
      </c>
    </row>
    <row r="34" spans="1:7" x14ac:dyDescent="0.2">
      <c r="A34" s="321" t="s">
        <v>565</v>
      </c>
      <c r="B34" s="310">
        <v>242.50051000000002</v>
      </c>
      <c r="C34" s="310">
        <v>0</v>
      </c>
      <c r="D34" s="312">
        <v>0</v>
      </c>
      <c r="E34" s="312">
        <v>0</v>
      </c>
      <c r="F34" s="312">
        <v>242.50051000000002</v>
      </c>
      <c r="G34" s="312">
        <v>0</v>
      </c>
    </row>
    <row r="35" spans="1:7" ht="13.5" customHeight="1" x14ac:dyDescent="0.2">
      <c r="A35" s="321" t="s">
        <v>645</v>
      </c>
      <c r="B35" s="310">
        <v>208.22</v>
      </c>
      <c r="C35" s="312">
        <v>0</v>
      </c>
      <c r="D35" s="312">
        <v>0</v>
      </c>
      <c r="E35" s="312">
        <v>0</v>
      </c>
      <c r="F35" s="310">
        <v>208.22</v>
      </c>
      <c r="G35" s="230">
        <v>0</v>
      </c>
    </row>
    <row r="36" spans="1:7" x14ac:dyDescent="0.2">
      <c r="A36" s="321" t="s">
        <v>566</v>
      </c>
      <c r="B36" s="310">
        <v>1278.3389999999999</v>
      </c>
      <c r="C36" s="310">
        <v>0</v>
      </c>
      <c r="D36" s="310">
        <v>104.35400000000001</v>
      </c>
      <c r="E36" s="310">
        <v>1173.9849999999999</v>
      </c>
      <c r="F36" s="312">
        <v>0</v>
      </c>
      <c r="G36" s="230">
        <v>0</v>
      </c>
    </row>
    <row r="37" spans="1:7" x14ac:dyDescent="0.2">
      <c r="A37" s="321" t="s">
        <v>646</v>
      </c>
      <c r="B37" s="310">
        <v>639.76599999999985</v>
      </c>
      <c r="C37" s="312">
        <v>0</v>
      </c>
      <c r="D37" s="312">
        <v>0</v>
      </c>
      <c r="E37" s="310">
        <v>267.59599999999995</v>
      </c>
      <c r="F37" s="312">
        <v>372.16999999999996</v>
      </c>
      <c r="G37" s="312">
        <v>0</v>
      </c>
    </row>
    <row r="38" spans="1:7" x14ac:dyDescent="0.2">
      <c r="A38" s="321" t="s">
        <v>647</v>
      </c>
      <c r="B38" s="310">
        <v>72.841139999999996</v>
      </c>
      <c r="C38" s="310">
        <v>0</v>
      </c>
      <c r="D38" s="312">
        <v>0</v>
      </c>
      <c r="E38" s="310">
        <v>53.858999999999995</v>
      </c>
      <c r="F38" s="310">
        <v>18.982139999999994</v>
      </c>
      <c r="G38" s="312">
        <v>0</v>
      </c>
    </row>
    <row r="39" spans="1:7" x14ac:dyDescent="0.2">
      <c r="A39" s="321" t="s">
        <v>570</v>
      </c>
      <c r="B39" s="310">
        <v>0.42199999999999999</v>
      </c>
      <c r="C39" s="310">
        <v>0.42199999999999999</v>
      </c>
      <c r="D39" s="312">
        <v>0</v>
      </c>
      <c r="E39" s="312">
        <v>0</v>
      </c>
      <c r="F39" s="312">
        <v>0</v>
      </c>
      <c r="G39" s="312">
        <v>0</v>
      </c>
    </row>
    <row r="40" spans="1:7" x14ac:dyDescent="0.2">
      <c r="A40" s="321" t="s">
        <v>648</v>
      </c>
      <c r="B40" s="310">
        <v>987.26699999999994</v>
      </c>
      <c r="C40" s="310">
        <v>13.948999999999998</v>
      </c>
      <c r="D40" s="310">
        <v>953.32600000000002</v>
      </c>
      <c r="E40" s="312">
        <v>19.991999999999997</v>
      </c>
      <c r="F40" s="312">
        <v>0</v>
      </c>
      <c r="G40" s="312">
        <v>0</v>
      </c>
    </row>
    <row r="41" spans="1:7" x14ac:dyDescent="0.2">
      <c r="A41" s="321" t="s">
        <v>573</v>
      </c>
      <c r="B41" s="310">
        <v>262.63800000000003</v>
      </c>
      <c r="C41" s="310">
        <v>0</v>
      </c>
      <c r="D41" s="312">
        <v>1.978</v>
      </c>
      <c r="E41" s="310">
        <v>260.66000000000003</v>
      </c>
      <c r="F41" s="312">
        <v>0</v>
      </c>
      <c r="G41" s="230">
        <v>0</v>
      </c>
    </row>
    <row r="42" spans="1:7" x14ac:dyDescent="0.2">
      <c r="A42" s="321" t="s">
        <v>649</v>
      </c>
      <c r="B42" s="310"/>
      <c r="C42" s="312"/>
      <c r="D42" s="312"/>
      <c r="E42" s="310"/>
      <c r="F42" s="312"/>
      <c r="G42" s="312"/>
    </row>
    <row r="43" spans="1:7" x14ac:dyDescent="0.2">
      <c r="A43" s="321" t="s">
        <v>650</v>
      </c>
      <c r="B43" s="310">
        <v>2090.8330799999999</v>
      </c>
      <c r="C43" s="312">
        <v>0</v>
      </c>
      <c r="D43" s="312">
        <v>0</v>
      </c>
      <c r="E43" s="310">
        <v>0</v>
      </c>
      <c r="F43" s="312">
        <v>2090.8330799999999</v>
      </c>
      <c r="G43" s="312">
        <v>0</v>
      </c>
    </row>
    <row r="44" spans="1:7" x14ac:dyDescent="0.2">
      <c r="A44" s="321" t="s">
        <v>651</v>
      </c>
      <c r="B44" s="310">
        <v>156.01353785670034</v>
      </c>
      <c r="C44" s="312">
        <v>0</v>
      </c>
      <c r="D44" s="312">
        <v>0</v>
      </c>
      <c r="E44" s="312">
        <v>0</v>
      </c>
      <c r="F44" s="310">
        <v>156.01353785670034</v>
      </c>
      <c r="G44" s="312">
        <v>0</v>
      </c>
    </row>
    <row r="45" spans="1:7" x14ac:dyDescent="0.2">
      <c r="A45" s="321" t="s">
        <v>652</v>
      </c>
      <c r="B45" s="230"/>
      <c r="C45" s="312"/>
      <c r="D45" s="312"/>
      <c r="E45" s="312"/>
      <c r="F45" s="312"/>
      <c r="G45" s="230"/>
    </row>
    <row r="46" spans="1:7" x14ac:dyDescent="0.2">
      <c r="A46" s="322" t="s">
        <v>575</v>
      </c>
      <c r="B46" s="323">
        <f>+SUM(B29:B45)</f>
        <v>6577.2220078566997</v>
      </c>
      <c r="C46" s="323">
        <f t="shared" ref="C46:G46" si="3">+SUM(C29:C45)</f>
        <v>21.761999999999997</v>
      </c>
      <c r="D46" s="323">
        <f t="shared" si="3"/>
        <v>1179.3130000000001</v>
      </c>
      <c r="E46" s="323">
        <f t="shared" si="3"/>
        <v>1824.7549999999999</v>
      </c>
      <c r="F46" s="323">
        <f t="shared" si="3"/>
        <v>3551.3920078566998</v>
      </c>
      <c r="G46" s="323">
        <f t="shared" si="3"/>
        <v>0</v>
      </c>
    </row>
    <row r="47" spans="1:7" x14ac:dyDescent="0.2">
      <c r="A47" s="321" t="s">
        <v>653</v>
      </c>
      <c r="B47" s="310">
        <v>330.30492000000004</v>
      </c>
      <c r="C47" s="310">
        <v>14.779</v>
      </c>
      <c r="D47" s="230">
        <v>8.7749999999999986</v>
      </c>
      <c r="E47" s="310">
        <v>1.07</v>
      </c>
      <c r="F47" s="230">
        <v>305.68092000000001</v>
      </c>
      <c r="G47" s="312">
        <v>0</v>
      </c>
    </row>
    <row r="48" spans="1:7" x14ac:dyDescent="0.2">
      <c r="A48" s="321" t="s">
        <v>654</v>
      </c>
      <c r="B48" s="310">
        <v>-300.98400000000004</v>
      </c>
      <c r="C48" s="310">
        <v>-105.79900000000001</v>
      </c>
      <c r="D48" s="230">
        <v>-8.2520000000000007</v>
      </c>
      <c r="E48" s="310">
        <v>-164.43300000000002</v>
      </c>
      <c r="F48" s="312">
        <v>-22.5</v>
      </c>
      <c r="G48" s="312">
        <v>0</v>
      </c>
    </row>
    <row r="49" spans="1:7" x14ac:dyDescent="0.2">
      <c r="A49" s="321" t="s">
        <v>655</v>
      </c>
      <c r="B49" s="310">
        <v>-182.13828076606219</v>
      </c>
      <c r="C49" s="310">
        <v>-140.05099999999999</v>
      </c>
      <c r="D49" s="310">
        <v>-9.8610000000000007</v>
      </c>
      <c r="E49" s="310">
        <v>-36.994</v>
      </c>
      <c r="F49" s="230">
        <v>4.7677192339377896</v>
      </c>
      <c r="G49" s="312">
        <v>0</v>
      </c>
    </row>
    <row r="50" spans="1:7" x14ac:dyDescent="0.2">
      <c r="A50" s="319" t="s">
        <v>656</v>
      </c>
      <c r="B50" s="324">
        <f>+B46+B27+B47+B48+B49</f>
        <v>45296.354012590637</v>
      </c>
      <c r="C50" s="324">
        <f t="shared" ref="C50:G50" si="4">+C46+C27+C47+C48+C49</f>
        <v>5754.8230000000003</v>
      </c>
      <c r="D50" s="324">
        <f t="shared" si="4"/>
        <v>3034.2890000000007</v>
      </c>
      <c r="E50" s="324">
        <f t="shared" si="4"/>
        <v>12660.871999999998</v>
      </c>
      <c r="F50" s="324">
        <f t="shared" si="4"/>
        <v>23846.370012590633</v>
      </c>
      <c r="G50" s="324">
        <f t="shared" si="4"/>
        <v>0</v>
      </c>
    </row>
  </sheetData>
  <pageMargins left="0.7" right="0.7" top="0.75" bottom="0.75" header="0.3" footer="0.3"/>
  <pageSetup paperSize="9" scale="8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9"/>
  <sheetViews>
    <sheetView workbookViewId="0">
      <selection activeCell="K14" sqref="K14"/>
    </sheetView>
  </sheetViews>
  <sheetFormatPr baseColWidth="10" defaultRowHeight="15" x14ac:dyDescent="0.25"/>
  <cols>
    <col min="1" max="1" width="19" customWidth="1"/>
  </cols>
  <sheetData>
    <row r="1" spans="1:9" ht="15" customHeight="1" x14ac:dyDescent="0.25">
      <c r="A1" s="546" t="s">
        <v>657</v>
      </c>
      <c r="B1" s="546"/>
      <c r="C1" s="546"/>
      <c r="D1" s="546"/>
      <c r="E1" s="546"/>
      <c r="F1" s="546"/>
      <c r="G1" s="546"/>
      <c r="H1" s="546"/>
      <c r="I1" s="546"/>
    </row>
    <row r="2" spans="1:9" x14ac:dyDescent="0.25">
      <c r="A2" s="325" t="s">
        <v>658</v>
      </c>
      <c r="B2" s="325">
        <v>2013</v>
      </c>
      <c r="C2" s="325">
        <v>2014</v>
      </c>
      <c r="D2" s="325">
        <v>2015</v>
      </c>
      <c r="E2" s="325">
        <v>2016</v>
      </c>
      <c r="F2" s="325">
        <v>2017</v>
      </c>
      <c r="G2" s="325">
        <v>2018</v>
      </c>
      <c r="H2" s="325">
        <v>2019</v>
      </c>
      <c r="I2" s="325">
        <v>2020</v>
      </c>
    </row>
    <row r="3" spans="1:9" ht="18.75" customHeight="1" x14ac:dyDescent="0.25">
      <c r="A3" s="326" t="s">
        <v>616</v>
      </c>
      <c r="B3" s="327">
        <v>5.4327665244040757</v>
      </c>
      <c r="C3" s="327">
        <v>5.8921287671232871</v>
      </c>
      <c r="D3" s="327">
        <v>6.0029561643835612</v>
      </c>
      <c r="E3" s="327">
        <v>6.3132704918032791</v>
      </c>
      <c r="F3" s="327">
        <v>6.1505972602739725</v>
      </c>
      <c r="G3" s="327">
        <v>6.5504849315068485</v>
      </c>
      <c r="H3" s="327">
        <v>6.9837123287671243</v>
      </c>
      <c r="I3" s="327">
        <v>1.4835819500390319</v>
      </c>
    </row>
    <row r="4" spans="1:9" x14ac:dyDescent="0.25">
      <c r="A4" s="326" t="s">
        <v>659</v>
      </c>
      <c r="B4" s="310">
        <v>33.748394933934328</v>
      </c>
      <c r="C4" s="310">
        <v>34.997191780821922</v>
      </c>
      <c r="D4" s="310">
        <v>39.227865753424659</v>
      </c>
      <c r="E4" s="310">
        <v>42.775928961748633</v>
      </c>
      <c r="F4" s="310">
        <v>44.706739726027401</v>
      </c>
      <c r="G4" s="310">
        <v>46.152693150684932</v>
      </c>
      <c r="H4" s="310">
        <v>47.688304109589041</v>
      </c>
      <c r="I4" s="310">
        <v>39.21837771239916</v>
      </c>
    </row>
    <row r="5" spans="1:9" x14ac:dyDescent="0.25">
      <c r="A5" s="326" t="s">
        <v>619</v>
      </c>
      <c r="B5" s="327">
        <v>14.821652528375736</v>
      </c>
      <c r="C5" s="327">
        <v>16.011353424657536</v>
      </c>
      <c r="D5" s="327">
        <v>13.280947945205478</v>
      </c>
      <c r="E5" s="327">
        <v>13.655002732240439</v>
      </c>
      <c r="F5" s="327">
        <v>13.280621917808219</v>
      </c>
      <c r="G5" s="327">
        <v>13.563457534246574</v>
      </c>
      <c r="H5" s="327">
        <v>14.889008219178082</v>
      </c>
      <c r="I5" s="327">
        <v>4.4661257012750459</v>
      </c>
    </row>
    <row r="6" spans="1:9" x14ac:dyDescent="0.25">
      <c r="A6" s="326" t="s">
        <v>621</v>
      </c>
      <c r="B6" s="310">
        <v>70.913935435626726</v>
      </c>
      <c r="C6" s="310">
        <v>61.05053698630136</v>
      </c>
      <c r="D6" s="310">
        <v>58.007427397260273</v>
      </c>
      <c r="E6" s="310">
        <v>61.292275956284151</v>
      </c>
      <c r="F6" s="310">
        <v>59.250671232876719</v>
      </c>
      <c r="G6" s="310">
        <v>55.485238356164388</v>
      </c>
      <c r="H6" s="310">
        <v>52.088534246575335</v>
      </c>
      <c r="I6" s="310">
        <v>47.539418075722097</v>
      </c>
    </row>
    <row r="7" spans="1:9" ht="15" customHeight="1" x14ac:dyDescent="0.25">
      <c r="A7" s="326" t="s">
        <v>660</v>
      </c>
      <c r="B7" s="327">
        <v>21.469468480104368</v>
      </c>
      <c r="C7" s="327">
        <v>23.946547945205484</v>
      </c>
      <c r="D7" s="327">
        <v>29.274632876712325</v>
      </c>
      <c r="E7" s="327">
        <v>35.505560109289618</v>
      </c>
      <c r="F7" s="327">
        <v>50.156369863013708</v>
      </c>
      <c r="G7" s="327">
        <v>44.121169863013698</v>
      </c>
      <c r="H7" s="327">
        <v>32.1823506849315</v>
      </c>
      <c r="I7" s="327">
        <v>5.4217605659640897</v>
      </c>
    </row>
    <row r="8" spans="1:9" x14ac:dyDescent="0.25">
      <c r="A8" s="326" t="s">
        <v>625</v>
      </c>
      <c r="B8" s="310">
        <v>8.6702104300501528</v>
      </c>
      <c r="C8" s="310">
        <v>6.0546575342465738</v>
      </c>
      <c r="D8" s="310">
        <v>6.6155972602739732</v>
      </c>
      <c r="E8" s="310">
        <v>7.4765409836065579</v>
      </c>
      <c r="F8" s="310">
        <v>7.3178739726027411</v>
      </c>
      <c r="G8" s="310">
        <v>9.2899561643835629</v>
      </c>
      <c r="H8" s="310">
        <v>12.531419178082194</v>
      </c>
      <c r="I8" s="310">
        <v>5.8239284972677599</v>
      </c>
    </row>
    <row r="9" spans="1:9" x14ac:dyDescent="0.25">
      <c r="A9" s="326" t="s">
        <v>627</v>
      </c>
      <c r="B9" s="327">
        <v>4.5948668219178082</v>
      </c>
      <c r="C9" s="327">
        <v>5.3056410958904117</v>
      </c>
      <c r="D9" s="327">
        <v>4.768504109589041</v>
      </c>
      <c r="E9" s="327">
        <v>4.3756994535519125</v>
      </c>
      <c r="F9" s="327">
        <v>5.4515287671232882</v>
      </c>
      <c r="G9" s="327">
        <v>5.2502054794520552</v>
      </c>
      <c r="H9" s="327">
        <v>4.7093397260273973</v>
      </c>
      <c r="I9" s="327">
        <v>2.2543194249284411</v>
      </c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8"/>
  <sheetViews>
    <sheetView zoomScale="110" zoomScaleNormal="110" workbookViewId="0">
      <selection activeCell="K14" sqref="K14"/>
    </sheetView>
  </sheetViews>
  <sheetFormatPr baseColWidth="10" defaultRowHeight="15" x14ac:dyDescent="0.25"/>
  <cols>
    <col min="1" max="1" width="14.85546875" customWidth="1"/>
    <col min="2" max="2" width="17.42578125" customWidth="1"/>
    <col min="3" max="3" width="13.28515625" customWidth="1"/>
    <col min="4" max="4" width="13" customWidth="1"/>
    <col min="5" max="5" width="13.140625" customWidth="1"/>
  </cols>
  <sheetData>
    <row r="1" spans="1:9" ht="15" customHeight="1" x14ac:dyDescent="0.25">
      <c r="A1" s="547" t="s">
        <v>661</v>
      </c>
      <c r="B1" s="547"/>
      <c r="C1" s="547"/>
      <c r="D1" s="547"/>
      <c r="E1" s="547"/>
      <c r="F1" s="547"/>
      <c r="G1" s="547"/>
      <c r="H1" s="547"/>
      <c r="I1" s="547"/>
    </row>
    <row r="2" spans="1:9" ht="22.5" x14ac:dyDescent="0.25">
      <c r="A2" s="303" t="s">
        <v>662</v>
      </c>
      <c r="B2" s="303" t="s">
        <v>663</v>
      </c>
      <c r="C2" s="303" t="s">
        <v>597</v>
      </c>
      <c r="D2" s="303" t="s">
        <v>616</v>
      </c>
      <c r="E2" s="303" t="s">
        <v>664</v>
      </c>
      <c r="F2" s="303" t="s">
        <v>665</v>
      </c>
      <c r="G2" s="303" t="s">
        <v>666</v>
      </c>
      <c r="H2" s="303" t="s">
        <v>566</v>
      </c>
      <c r="I2" s="303" t="s">
        <v>47</v>
      </c>
    </row>
    <row r="3" spans="1:9" x14ac:dyDescent="0.25">
      <c r="A3" s="328" t="s">
        <v>667</v>
      </c>
      <c r="B3" s="290">
        <v>98.207159999999988</v>
      </c>
      <c r="C3" s="290"/>
      <c r="D3" s="290">
        <v>302.61270999999999</v>
      </c>
      <c r="E3" s="290"/>
      <c r="F3" s="290"/>
      <c r="G3" s="290"/>
      <c r="I3" s="290">
        <f>+SUM(B3:H3)</f>
        <v>400.81986999999998</v>
      </c>
    </row>
    <row r="4" spans="1:9" x14ac:dyDescent="0.25">
      <c r="A4" s="329" t="s">
        <v>668</v>
      </c>
      <c r="B4" s="330"/>
      <c r="C4" s="330">
        <v>99.013000000000005</v>
      </c>
      <c r="D4" s="330">
        <v>64.344000000000008</v>
      </c>
      <c r="E4" s="330"/>
      <c r="F4" s="330"/>
      <c r="G4" s="330"/>
      <c r="H4" s="330"/>
      <c r="I4" s="330">
        <f t="shared" ref="I4:I7" si="0">+SUM(B4:H4)</f>
        <v>163.35700000000003</v>
      </c>
    </row>
    <row r="5" spans="1:9" x14ac:dyDescent="0.25">
      <c r="A5" s="328" t="s">
        <v>669</v>
      </c>
      <c r="B5" s="290"/>
      <c r="C5" s="290">
        <v>10676</v>
      </c>
      <c r="D5" s="290"/>
      <c r="E5" s="290">
        <v>14536.8</v>
      </c>
      <c r="F5" s="290">
        <v>1662.3</v>
      </c>
      <c r="G5" s="290">
        <v>1224.3</v>
      </c>
      <c r="H5" s="290">
        <v>228.9</v>
      </c>
      <c r="I5" s="290">
        <f t="shared" si="0"/>
        <v>28328.3</v>
      </c>
    </row>
    <row r="6" spans="1:9" x14ac:dyDescent="0.25">
      <c r="A6" s="329" t="s">
        <v>670</v>
      </c>
      <c r="B6" s="330">
        <v>111.35866666666668</v>
      </c>
      <c r="C6" s="330"/>
      <c r="D6" s="330">
        <v>239.77916666666667</v>
      </c>
      <c r="E6" s="330"/>
      <c r="F6" s="330"/>
      <c r="G6" s="330"/>
      <c r="H6" s="330"/>
      <c r="I6" s="330">
        <f t="shared" si="0"/>
        <v>351.13783333333333</v>
      </c>
    </row>
    <row r="7" spans="1:9" x14ac:dyDescent="0.25">
      <c r="A7" s="303" t="s">
        <v>47</v>
      </c>
      <c r="B7" s="331">
        <f>+SUM(B3:B6)</f>
        <v>209.56582666666668</v>
      </c>
      <c r="C7" s="331">
        <f t="shared" ref="C7:H7" si="1">+SUM(C3:C6)</f>
        <v>10775.013000000001</v>
      </c>
      <c r="D7" s="331">
        <f t="shared" si="1"/>
        <v>606.73587666666663</v>
      </c>
      <c r="E7" s="331">
        <f t="shared" si="1"/>
        <v>14536.8</v>
      </c>
      <c r="F7" s="331">
        <f t="shared" si="1"/>
        <v>1662.3</v>
      </c>
      <c r="G7" s="331">
        <f t="shared" si="1"/>
        <v>1224.3</v>
      </c>
      <c r="H7" s="331">
        <f t="shared" si="1"/>
        <v>228.9</v>
      </c>
      <c r="I7" s="331">
        <f t="shared" si="0"/>
        <v>29243.614703333333</v>
      </c>
    </row>
    <row r="8" spans="1:9" x14ac:dyDescent="0.25">
      <c r="E8" s="332"/>
    </row>
  </sheetData>
  <mergeCells count="1">
    <mergeCell ref="A1:I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23"/>
  <sheetViews>
    <sheetView workbookViewId="0">
      <selection activeCell="K14" sqref="K14"/>
    </sheetView>
  </sheetViews>
  <sheetFormatPr baseColWidth="10" defaultColWidth="11.42578125" defaultRowHeight="11.25" x14ac:dyDescent="0.2"/>
  <cols>
    <col min="1" max="1" width="24.140625" style="152" customWidth="1"/>
    <col min="2" max="16384" width="11.42578125" style="152"/>
  </cols>
  <sheetData>
    <row r="1" spans="1:9" ht="11.25" customHeight="1" x14ac:dyDescent="0.2">
      <c r="A1" s="547" t="s">
        <v>661</v>
      </c>
      <c r="B1" s="547"/>
      <c r="C1" s="547"/>
      <c r="D1" s="547"/>
      <c r="E1" s="547"/>
      <c r="F1" s="547"/>
      <c r="G1" s="547"/>
      <c r="H1" s="547"/>
      <c r="I1" s="547"/>
    </row>
    <row r="2" spans="1:9" x14ac:dyDescent="0.2">
      <c r="A2" s="303" t="s">
        <v>611</v>
      </c>
      <c r="B2" s="303">
        <v>2013</v>
      </c>
      <c r="C2" s="303">
        <v>2014</v>
      </c>
      <c r="D2" s="303">
        <v>2015</v>
      </c>
      <c r="E2" s="303">
        <v>2016</v>
      </c>
      <c r="F2" s="303">
        <v>2017</v>
      </c>
      <c r="G2" s="303">
        <v>2018</v>
      </c>
      <c r="H2" s="303">
        <v>2019</v>
      </c>
      <c r="I2" s="303">
        <v>2020</v>
      </c>
    </row>
    <row r="3" spans="1:9" x14ac:dyDescent="0.2">
      <c r="A3" s="333" t="s">
        <v>671</v>
      </c>
      <c r="B3" s="334">
        <f t="shared" ref="B3:I3" si="0">+SUM(B4:B7)</f>
        <v>257.65334000000001</v>
      </c>
      <c r="C3" s="334">
        <f t="shared" si="0"/>
        <v>384.13027</v>
      </c>
      <c r="D3" s="334">
        <f t="shared" si="0"/>
        <v>446.79883000000001</v>
      </c>
      <c r="E3" s="334">
        <f t="shared" si="0"/>
        <v>456.03</v>
      </c>
      <c r="F3" s="334">
        <f t="shared" si="0"/>
        <v>386.05617000000007</v>
      </c>
      <c r="G3" s="334">
        <f t="shared" si="0"/>
        <v>378.40957000000003</v>
      </c>
      <c r="H3" s="334">
        <f t="shared" si="0"/>
        <v>414.4994200000001</v>
      </c>
      <c r="I3" s="334">
        <f t="shared" si="0"/>
        <v>400.81986999999998</v>
      </c>
    </row>
    <row r="4" spans="1:9" x14ac:dyDescent="0.2">
      <c r="A4" s="335" t="s">
        <v>597</v>
      </c>
      <c r="B4" s="230">
        <v>0</v>
      </c>
      <c r="C4" s="230">
        <v>0</v>
      </c>
      <c r="D4" s="230">
        <v>0</v>
      </c>
      <c r="E4" s="230">
        <v>0</v>
      </c>
      <c r="F4" s="230">
        <v>0</v>
      </c>
      <c r="G4" s="312">
        <v>0</v>
      </c>
      <c r="H4" s="312">
        <v>0</v>
      </c>
      <c r="I4" s="312">
        <v>0</v>
      </c>
    </row>
    <row r="5" spans="1:9" x14ac:dyDescent="0.2">
      <c r="A5" s="335" t="s">
        <v>616</v>
      </c>
      <c r="B5" s="230">
        <v>199.88463000000002</v>
      </c>
      <c r="C5" s="230">
        <v>296.19310000000002</v>
      </c>
      <c r="D5" s="230">
        <v>342.14357000000001</v>
      </c>
      <c r="E5" s="230">
        <v>350.46</v>
      </c>
      <c r="F5" s="230">
        <v>315.73319000000004</v>
      </c>
      <c r="G5" s="230">
        <v>305.20049</v>
      </c>
      <c r="H5" s="230">
        <v>315.05369000000007</v>
      </c>
      <c r="I5" s="230">
        <v>302.61270999999999</v>
      </c>
    </row>
    <row r="6" spans="1:9" x14ac:dyDescent="0.2">
      <c r="A6" s="335" t="s">
        <v>672</v>
      </c>
      <c r="B6" s="230">
        <v>0</v>
      </c>
      <c r="C6" s="230">
        <v>0</v>
      </c>
      <c r="D6" s="230">
        <v>0</v>
      </c>
      <c r="E6" s="230">
        <v>0</v>
      </c>
      <c r="F6" s="230">
        <v>0</v>
      </c>
      <c r="G6" s="312">
        <v>0</v>
      </c>
      <c r="H6" s="312">
        <v>0</v>
      </c>
      <c r="I6" s="312">
        <v>0</v>
      </c>
    </row>
    <row r="7" spans="1:9" ht="12" customHeight="1" x14ac:dyDescent="0.2">
      <c r="A7" s="335" t="s">
        <v>663</v>
      </c>
      <c r="B7" s="230">
        <v>57.768710000000013</v>
      </c>
      <c r="C7" s="230">
        <v>87.937169999999981</v>
      </c>
      <c r="D7" s="230">
        <v>104.65525999999998</v>
      </c>
      <c r="E7" s="230">
        <v>105.57</v>
      </c>
      <c r="F7" s="230">
        <v>70.322980000000001</v>
      </c>
      <c r="G7" s="230">
        <v>73.20908</v>
      </c>
      <c r="H7" s="230">
        <v>99.445730000000026</v>
      </c>
      <c r="I7" s="230">
        <v>98.207159999999988</v>
      </c>
    </row>
    <row r="8" spans="1:9" x14ac:dyDescent="0.2">
      <c r="A8" s="333" t="s">
        <v>673</v>
      </c>
      <c r="B8" s="336">
        <f t="shared" ref="B8:I8" si="1">+SUM(B9:B10)</f>
        <v>836.702</v>
      </c>
      <c r="C8" s="336">
        <f t="shared" si="1"/>
        <v>784.39999999999986</v>
      </c>
      <c r="D8" s="336">
        <f t="shared" si="1"/>
        <v>719.66699999999992</v>
      </c>
      <c r="E8" s="336">
        <f t="shared" si="1"/>
        <v>470</v>
      </c>
      <c r="F8" s="336">
        <f t="shared" si="1"/>
        <v>413.01900000000001</v>
      </c>
      <c r="G8" s="336">
        <f t="shared" si="1"/>
        <v>393.36899999999997</v>
      </c>
      <c r="H8" s="336">
        <f t="shared" si="1"/>
        <v>274.911</v>
      </c>
      <c r="I8" s="336">
        <f t="shared" si="1"/>
        <v>163.35700000000003</v>
      </c>
    </row>
    <row r="9" spans="1:9" x14ac:dyDescent="0.2">
      <c r="A9" s="335" t="s">
        <v>597</v>
      </c>
      <c r="B9" s="230">
        <v>493.34800000000001</v>
      </c>
      <c r="C9" s="230">
        <v>464.80299999999994</v>
      </c>
      <c r="D9" s="230">
        <v>438.44399999999996</v>
      </c>
      <c r="E9" s="230">
        <v>291.61</v>
      </c>
      <c r="F9" s="230">
        <v>255.99600000000001</v>
      </c>
      <c r="G9" s="230">
        <v>244.66799999999998</v>
      </c>
      <c r="H9" s="230">
        <v>172.488</v>
      </c>
      <c r="I9" s="230">
        <v>99.013000000000005</v>
      </c>
    </row>
    <row r="10" spans="1:9" x14ac:dyDescent="0.2">
      <c r="A10" s="335" t="s">
        <v>616</v>
      </c>
      <c r="B10" s="230">
        <v>343.35400000000004</v>
      </c>
      <c r="C10" s="230">
        <v>319.59699999999998</v>
      </c>
      <c r="D10" s="230">
        <v>281.22300000000001</v>
      </c>
      <c r="E10" s="230">
        <v>178.39</v>
      </c>
      <c r="F10" s="230">
        <v>157.023</v>
      </c>
      <c r="G10" s="230">
        <v>148.70099999999999</v>
      </c>
      <c r="H10" s="230">
        <v>102.42300000000002</v>
      </c>
      <c r="I10" s="230">
        <v>64.344000000000008</v>
      </c>
    </row>
    <row r="11" spans="1:9" ht="18" customHeight="1" x14ac:dyDescent="0.2">
      <c r="A11" s="333" t="s">
        <v>674</v>
      </c>
      <c r="B11" s="336">
        <f t="shared" ref="B11:G11" si="2">+SUM(B12:B15)</f>
        <v>36408.699999999997</v>
      </c>
      <c r="C11" s="336">
        <f t="shared" si="2"/>
        <v>34731.300000000003</v>
      </c>
      <c r="D11" s="336">
        <f t="shared" si="2"/>
        <v>30001.599999999999</v>
      </c>
      <c r="E11" s="336">
        <f t="shared" si="2"/>
        <v>30605.8</v>
      </c>
      <c r="F11" s="336">
        <f t="shared" si="2"/>
        <v>27968.845999999998</v>
      </c>
      <c r="G11" s="336">
        <f t="shared" si="2"/>
        <v>26271.7</v>
      </c>
      <c r="H11" s="336">
        <f>+SUM(H12:H15)</f>
        <v>27136.306</v>
      </c>
      <c r="I11" s="336">
        <f>+SUM(I12:I17)</f>
        <v>28328.3</v>
      </c>
    </row>
    <row r="12" spans="1:9" x14ac:dyDescent="0.2">
      <c r="A12" s="335" t="s">
        <v>597</v>
      </c>
      <c r="B12" s="230">
        <v>14712.4</v>
      </c>
      <c r="C12" s="230">
        <v>13761.8</v>
      </c>
      <c r="D12" s="230">
        <v>11639.300000000001</v>
      </c>
      <c r="E12" s="230">
        <v>12547.5</v>
      </c>
      <c r="F12" s="230">
        <v>11256.745999999999</v>
      </c>
      <c r="G12" s="230">
        <v>10823.4</v>
      </c>
      <c r="H12" s="230">
        <v>10935.899999999998</v>
      </c>
      <c r="I12" s="230">
        <v>10676</v>
      </c>
    </row>
    <row r="13" spans="1:9" x14ac:dyDescent="0.2">
      <c r="A13" s="335" t="s">
        <v>672</v>
      </c>
      <c r="B13" s="230">
        <v>18035.3</v>
      </c>
      <c r="C13" s="230">
        <v>17216.400000000001</v>
      </c>
      <c r="D13" s="230">
        <v>15438.799999999997</v>
      </c>
      <c r="E13" s="230">
        <v>15283.7</v>
      </c>
      <c r="F13" s="230">
        <v>14565.5</v>
      </c>
      <c r="G13" s="230">
        <v>13677.1</v>
      </c>
      <c r="H13" s="230">
        <v>14357.900000000001</v>
      </c>
      <c r="I13" s="230">
        <v>14536.8</v>
      </c>
    </row>
    <row r="14" spans="1:9" x14ac:dyDescent="0.2">
      <c r="A14" s="335" t="s">
        <v>675</v>
      </c>
      <c r="B14" s="230">
        <v>3661</v>
      </c>
      <c r="C14" s="230">
        <v>3753.1000000000004</v>
      </c>
      <c r="D14" s="230">
        <v>2923.5</v>
      </c>
      <c r="E14" s="230">
        <v>2774.6</v>
      </c>
      <c r="F14" s="230">
        <v>2146.6000000000004</v>
      </c>
      <c r="G14" s="230">
        <v>1771.2</v>
      </c>
      <c r="H14" s="230">
        <v>1679.7000000000003</v>
      </c>
      <c r="I14" s="230">
        <v>1662.3</v>
      </c>
    </row>
    <row r="15" spans="1:9" x14ac:dyDescent="0.2">
      <c r="A15" s="335" t="s">
        <v>573</v>
      </c>
      <c r="B15" s="230">
        <v>0</v>
      </c>
      <c r="C15" s="230">
        <v>0</v>
      </c>
      <c r="D15" s="230">
        <v>0</v>
      </c>
      <c r="E15" s="230">
        <v>0</v>
      </c>
      <c r="F15" s="230">
        <v>0</v>
      </c>
      <c r="G15" s="230">
        <v>0</v>
      </c>
      <c r="H15" s="230">
        <v>162.80600000000001</v>
      </c>
      <c r="I15" s="230">
        <v>0</v>
      </c>
    </row>
    <row r="16" spans="1:9" x14ac:dyDescent="0.2">
      <c r="A16" s="335" t="s">
        <v>666</v>
      </c>
      <c r="B16" s="230"/>
      <c r="C16" s="230"/>
      <c r="D16" s="230"/>
      <c r="E16" s="230"/>
      <c r="F16" s="230"/>
      <c r="G16" s="230"/>
      <c r="H16" s="230"/>
      <c r="I16" s="230">
        <v>1224.3</v>
      </c>
    </row>
    <row r="17" spans="1:9" x14ac:dyDescent="0.2">
      <c r="A17" s="335" t="s">
        <v>566</v>
      </c>
      <c r="B17" s="230"/>
      <c r="C17" s="230"/>
      <c r="D17" s="230"/>
      <c r="E17" s="230"/>
      <c r="F17" s="230"/>
      <c r="G17" s="230"/>
      <c r="H17" s="230"/>
      <c r="I17" s="290">
        <v>228.9</v>
      </c>
    </row>
    <row r="18" spans="1:9" ht="13.5" customHeight="1" x14ac:dyDescent="0.2">
      <c r="A18" s="333" t="s">
        <v>676</v>
      </c>
      <c r="B18" s="336">
        <f t="shared" ref="B18:I18" si="3">+SUM(B19:B22)</f>
        <v>479.16900000000004</v>
      </c>
      <c r="C18" s="336">
        <f t="shared" si="3"/>
        <v>466.37700000000001</v>
      </c>
      <c r="D18" s="336">
        <f t="shared" si="3"/>
        <v>469.61040476190476</v>
      </c>
      <c r="E18" s="336">
        <f t="shared" si="3"/>
        <v>429.71999999999997</v>
      </c>
      <c r="F18" s="336">
        <f t="shared" si="3"/>
        <v>374.67964285714288</v>
      </c>
      <c r="G18" s="336">
        <f t="shared" si="3"/>
        <v>364.76500000000004</v>
      </c>
      <c r="H18" s="336">
        <f t="shared" si="3"/>
        <v>349.29100000000005</v>
      </c>
      <c r="I18" s="336">
        <f t="shared" si="3"/>
        <v>351.13783333333333</v>
      </c>
    </row>
    <row r="19" spans="1:9" x14ac:dyDescent="0.2">
      <c r="A19" s="335" t="s">
        <v>597</v>
      </c>
      <c r="B19" s="230">
        <v>0</v>
      </c>
      <c r="C19" s="230">
        <v>0</v>
      </c>
      <c r="D19" s="230">
        <v>0</v>
      </c>
      <c r="E19" s="230">
        <v>0</v>
      </c>
      <c r="F19" s="230">
        <v>0</v>
      </c>
      <c r="G19" s="230">
        <v>0</v>
      </c>
      <c r="H19" s="230">
        <v>0</v>
      </c>
      <c r="I19" s="230">
        <v>0</v>
      </c>
    </row>
    <row r="20" spans="1:9" x14ac:dyDescent="0.2">
      <c r="A20" s="335" t="s">
        <v>616</v>
      </c>
      <c r="B20" s="230"/>
      <c r="C20" s="230"/>
      <c r="D20" s="230"/>
      <c r="E20" s="230"/>
      <c r="F20" s="230"/>
      <c r="G20" s="230"/>
      <c r="H20" s="230"/>
      <c r="I20" s="230">
        <v>239.77916666666667</v>
      </c>
    </row>
    <row r="21" spans="1:9" x14ac:dyDescent="0.2">
      <c r="A21" s="335" t="s">
        <v>672</v>
      </c>
      <c r="B21" s="230">
        <v>339.43</v>
      </c>
      <c r="C21" s="230">
        <v>328.6</v>
      </c>
      <c r="D21" s="230">
        <v>333.68899999999996</v>
      </c>
      <c r="E21" s="230">
        <v>303.14</v>
      </c>
      <c r="F21" s="230">
        <v>260.16164285714285</v>
      </c>
      <c r="G21" s="230">
        <v>262.67700000000002</v>
      </c>
      <c r="H21" s="230">
        <v>242.81600000000003</v>
      </c>
      <c r="I21" s="230"/>
    </row>
    <row r="22" spans="1:9" ht="16.5" customHeight="1" x14ac:dyDescent="0.2">
      <c r="A22" s="335" t="s">
        <v>663</v>
      </c>
      <c r="B22" s="230">
        <v>139.73900000000003</v>
      </c>
      <c r="C22" s="230">
        <v>137.77699999999999</v>
      </c>
      <c r="D22" s="230">
        <v>135.92140476190477</v>
      </c>
      <c r="E22" s="230">
        <v>126.58</v>
      </c>
      <c r="F22" s="230">
        <v>114.518</v>
      </c>
      <c r="G22" s="230">
        <v>102.08800000000001</v>
      </c>
      <c r="H22" s="230">
        <v>106.47499999999999</v>
      </c>
      <c r="I22" s="230">
        <v>111.35866666666668</v>
      </c>
    </row>
    <row r="23" spans="1:9" x14ac:dyDescent="0.2">
      <c r="A23" s="303" t="s">
        <v>47</v>
      </c>
      <c r="B23" s="337">
        <f t="shared" ref="B23:G23" si="4">+B3+B8+B11+B18</f>
        <v>37982.224340000001</v>
      </c>
      <c r="C23" s="337">
        <f t="shared" si="4"/>
        <v>36366.207270000006</v>
      </c>
      <c r="D23" s="337">
        <f t="shared" si="4"/>
        <v>31637.676234761904</v>
      </c>
      <c r="E23" s="337">
        <f t="shared" si="4"/>
        <v>31961.55</v>
      </c>
      <c r="F23" s="337">
        <f t="shared" si="4"/>
        <v>29142.600812857141</v>
      </c>
      <c r="G23" s="337">
        <f t="shared" si="4"/>
        <v>27408.243569999999</v>
      </c>
      <c r="H23" s="337">
        <f>+H3+H8+H11+H18</f>
        <v>28175.007420000002</v>
      </c>
      <c r="I23" s="337">
        <f>+I3+I8+I11+I18</f>
        <v>29243.614703333333</v>
      </c>
    </row>
  </sheetData>
  <mergeCells count="1">
    <mergeCell ref="A1:I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50"/>
  <sheetViews>
    <sheetView zoomScale="92" zoomScaleNormal="70" workbookViewId="0">
      <selection activeCell="K14" sqref="K14"/>
    </sheetView>
  </sheetViews>
  <sheetFormatPr baseColWidth="10" defaultColWidth="11.42578125" defaultRowHeight="11.25" x14ac:dyDescent="0.2"/>
  <cols>
    <col min="1" max="1" width="28.42578125" style="152" customWidth="1"/>
    <col min="2" max="4" width="11.42578125" style="152"/>
    <col min="5" max="5" width="14.7109375" style="152" customWidth="1"/>
    <col min="6" max="6" width="14.5703125" style="152" customWidth="1"/>
    <col min="7" max="7" width="16.5703125" style="152" customWidth="1"/>
    <col min="8" max="16384" width="11.42578125" style="152"/>
  </cols>
  <sheetData>
    <row r="1" spans="1:7" ht="22.5" customHeight="1" x14ac:dyDescent="0.2">
      <c r="A1" s="547" t="s">
        <v>677</v>
      </c>
      <c r="B1" s="547"/>
      <c r="C1" s="547"/>
      <c r="D1" s="547"/>
      <c r="E1" s="547"/>
      <c r="F1" s="547"/>
      <c r="G1" s="547"/>
    </row>
    <row r="2" spans="1:7" ht="13.5" customHeight="1" x14ac:dyDescent="0.2">
      <c r="A2" s="303" t="s">
        <v>611</v>
      </c>
      <c r="B2" s="303" t="s">
        <v>606</v>
      </c>
      <c r="C2" s="303" t="s">
        <v>678</v>
      </c>
      <c r="D2" s="303" t="s">
        <v>607</v>
      </c>
      <c r="E2" s="303" t="s">
        <v>679</v>
      </c>
      <c r="F2" s="303" t="s">
        <v>680</v>
      </c>
      <c r="G2" s="303" t="s">
        <v>681</v>
      </c>
    </row>
    <row r="3" spans="1:7" x14ac:dyDescent="0.2">
      <c r="A3" s="338" t="s">
        <v>682</v>
      </c>
      <c r="B3" s="339">
        <v>764.96600000000001</v>
      </c>
      <c r="C3" s="339">
        <v>235.56800000000001</v>
      </c>
      <c r="D3" s="339">
        <v>23.181000000000001</v>
      </c>
      <c r="E3" s="339">
        <v>5.2119999999999997</v>
      </c>
      <c r="F3" s="339">
        <v>1493.1599999999999</v>
      </c>
      <c r="G3" s="340">
        <v>2522.087</v>
      </c>
    </row>
    <row r="4" spans="1:7" x14ac:dyDescent="0.2">
      <c r="A4" s="341" t="s">
        <v>683</v>
      </c>
      <c r="B4" s="342"/>
      <c r="C4" s="342"/>
      <c r="D4" s="342"/>
      <c r="E4" s="342"/>
      <c r="F4" s="342"/>
      <c r="G4" s="342"/>
    </row>
    <row r="5" spans="1:7" x14ac:dyDescent="0.2">
      <c r="A5" s="343" t="s">
        <v>684</v>
      </c>
      <c r="B5" s="344">
        <v>149.113</v>
      </c>
      <c r="C5" s="344">
        <v>21.03</v>
      </c>
      <c r="D5" s="344">
        <v>34.723999999999997</v>
      </c>
      <c r="E5" s="345">
        <v>3.0000000000000001E-3</v>
      </c>
      <c r="F5" s="344"/>
      <c r="G5" s="340">
        <v>204.86999999999998</v>
      </c>
    </row>
    <row r="6" spans="1:7" x14ac:dyDescent="0.2">
      <c r="A6" s="343" t="s">
        <v>685</v>
      </c>
      <c r="B6" s="344"/>
      <c r="C6" s="346">
        <v>1.607</v>
      </c>
      <c r="D6" s="346"/>
      <c r="E6" s="346"/>
      <c r="F6" s="346"/>
      <c r="G6" s="340">
        <v>1.607</v>
      </c>
    </row>
    <row r="7" spans="1:7" x14ac:dyDescent="0.2">
      <c r="A7" s="343" t="s">
        <v>686</v>
      </c>
      <c r="B7" s="344">
        <v>1.3280000000000001</v>
      </c>
      <c r="C7" s="346"/>
      <c r="D7" s="346"/>
      <c r="E7" s="346"/>
      <c r="F7" s="346"/>
      <c r="G7" s="340">
        <v>1.3280000000000001</v>
      </c>
    </row>
    <row r="8" spans="1:7" ht="12" customHeight="1" x14ac:dyDescent="0.2">
      <c r="A8" s="343" t="s">
        <v>687</v>
      </c>
      <c r="B8" s="344">
        <v>0.64</v>
      </c>
      <c r="C8" s="346">
        <v>53.463000000000001</v>
      </c>
      <c r="D8" s="344">
        <v>74.367000000000004</v>
      </c>
      <c r="E8" s="345">
        <v>3.0000000000000001E-3</v>
      </c>
      <c r="F8" s="346"/>
      <c r="G8" s="340">
        <v>128.47299999999998</v>
      </c>
    </row>
    <row r="9" spans="1:7" ht="12" customHeight="1" x14ac:dyDescent="0.2">
      <c r="A9" s="343" t="s">
        <v>688</v>
      </c>
      <c r="B9" s="344">
        <v>1.135</v>
      </c>
      <c r="C9" s="344">
        <v>5.9420000000000002</v>
      </c>
      <c r="D9" s="346"/>
      <c r="E9" s="346"/>
      <c r="F9" s="344">
        <v>51.18</v>
      </c>
      <c r="G9" s="340">
        <v>58.256999999999998</v>
      </c>
    </row>
    <row r="10" spans="1:7" x14ac:dyDescent="0.2">
      <c r="A10" s="343" t="s">
        <v>689</v>
      </c>
      <c r="B10" s="344">
        <v>14.895</v>
      </c>
      <c r="C10" s="344">
        <v>66.138000000000005</v>
      </c>
      <c r="D10" s="344">
        <v>1.9610000000000001</v>
      </c>
      <c r="E10" s="344">
        <v>0.19</v>
      </c>
      <c r="F10" s="344">
        <v>69.69</v>
      </c>
      <c r="G10" s="340">
        <v>152.874</v>
      </c>
    </row>
    <row r="11" spans="1:7" x14ac:dyDescent="0.2">
      <c r="A11" s="343" t="s">
        <v>690</v>
      </c>
      <c r="B11" s="344">
        <v>1.4E-2</v>
      </c>
      <c r="C11" s="346"/>
      <c r="D11" s="346"/>
      <c r="E11" s="346"/>
      <c r="F11" s="346"/>
      <c r="G11" s="340">
        <v>1.4E-2</v>
      </c>
    </row>
    <row r="12" spans="1:7" x14ac:dyDescent="0.2">
      <c r="A12" s="343" t="s">
        <v>691</v>
      </c>
      <c r="B12" s="344">
        <v>1.1299999999999999</v>
      </c>
      <c r="C12" s="344">
        <v>4.2999999999999997E-2</v>
      </c>
      <c r="D12" s="344">
        <v>1.2999999999999999E-2</v>
      </c>
      <c r="E12" s="346"/>
      <c r="F12" s="346"/>
      <c r="G12" s="340">
        <v>1.1859999999999997</v>
      </c>
    </row>
    <row r="13" spans="1:7" x14ac:dyDescent="0.2">
      <c r="A13" s="343" t="s">
        <v>692</v>
      </c>
      <c r="B13" s="344">
        <v>0.61299999999999999</v>
      </c>
      <c r="C13" s="346"/>
      <c r="D13" s="346"/>
      <c r="E13" s="346"/>
      <c r="F13" s="344"/>
      <c r="G13" s="340">
        <v>0.61299999999999999</v>
      </c>
    </row>
    <row r="14" spans="1:7" x14ac:dyDescent="0.2">
      <c r="A14" s="343" t="s">
        <v>693</v>
      </c>
      <c r="B14" s="346">
        <v>0.29699999999999999</v>
      </c>
      <c r="C14" s="346"/>
      <c r="D14" s="346"/>
      <c r="E14" s="346"/>
      <c r="F14" s="344"/>
      <c r="G14" s="340">
        <v>0.29699999999999999</v>
      </c>
    </row>
    <row r="15" spans="1:7" x14ac:dyDescent="0.2">
      <c r="A15" s="343" t="s">
        <v>694</v>
      </c>
      <c r="B15" s="344">
        <v>0.26100000000000001</v>
      </c>
      <c r="C15" s="346"/>
      <c r="D15" s="346"/>
      <c r="E15" s="346"/>
      <c r="F15" s="346"/>
      <c r="G15" s="340">
        <v>0.26100000000000001</v>
      </c>
    </row>
    <row r="16" spans="1:7" x14ac:dyDescent="0.2">
      <c r="A16" s="343" t="s">
        <v>695</v>
      </c>
      <c r="B16" s="344">
        <v>0.26200000000000001</v>
      </c>
      <c r="C16" s="346"/>
      <c r="D16" s="346"/>
      <c r="E16" s="346"/>
      <c r="F16" s="346"/>
      <c r="G16" s="340">
        <v>0.26200000000000001</v>
      </c>
    </row>
    <row r="17" spans="1:7" x14ac:dyDescent="0.2">
      <c r="A17" s="343" t="s">
        <v>650</v>
      </c>
      <c r="B17" s="344"/>
      <c r="C17" s="346"/>
      <c r="D17" s="346"/>
      <c r="E17" s="346"/>
      <c r="F17" s="346">
        <v>51.04</v>
      </c>
      <c r="G17" s="340">
        <v>51.04</v>
      </c>
    </row>
    <row r="18" spans="1:7" ht="12.75" customHeight="1" x14ac:dyDescent="0.2">
      <c r="A18" s="343" t="s">
        <v>696</v>
      </c>
      <c r="B18" s="344">
        <v>4.032</v>
      </c>
      <c r="C18" s="346"/>
      <c r="D18" s="346"/>
      <c r="E18" s="346"/>
      <c r="F18" s="346"/>
      <c r="G18" s="340">
        <v>4.032</v>
      </c>
    </row>
    <row r="19" spans="1:7" x14ac:dyDescent="0.2">
      <c r="A19" s="343" t="s">
        <v>697</v>
      </c>
      <c r="B19" s="346"/>
      <c r="C19" s="346"/>
      <c r="D19" s="346"/>
      <c r="E19" s="346"/>
      <c r="F19" s="344">
        <v>4.78</v>
      </c>
      <c r="G19" s="340">
        <v>4.78</v>
      </c>
    </row>
    <row r="20" spans="1:7" x14ac:dyDescent="0.2">
      <c r="A20" s="343" t="s">
        <v>698</v>
      </c>
      <c r="B20" s="346"/>
      <c r="C20" s="346">
        <v>0.309</v>
      </c>
      <c r="D20" s="346"/>
      <c r="E20" s="346"/>
      <c r="F20" s="344"/>
      <c r="G20" s="340">
        <v>0.309</v>
      </c>
    </row>
    <row r="21" spans="1:7" x14ac:dyDescent="0.2">
      <c r="A21" s="343" t="s">
        <v>699</v>
      </c>
      <c r="B21" s="346"/>
      <c r="C21" s="346"/>
      <c r="D21" s="346"/>
      <c r="E21" s="346"/>
      <c r="F21" s="344">
        <v>0.99</v>
      </c>
      <c r="G21" s="340">
        <v>0.99</v>
      </c>
    </row>
    <row r="22" spans="1:7" x14ac:dyDescent="0.2">
      <c r="A22" s="343" t="s">
        <v>700</v>
      </c>
      <c r="B22" s="344"/>
      <c r="C22" s="344">
        <v>59.341000000000001</v>
      </c>
      <c r="D22" s="344">
        <v>34.002000000000002</v>
      </c>
      <c r="E22" s="344">
        <v>1.7000000000000001E-2</v>
      </c>
      <c r="F22" s="344">
        <v>12.91</v>
      </c>
      <c r="G22" s="340">
        <v>106.27</v>
      </c>
    </row>
    <row r="23" spans="1:7" x14ac:dyDescent="0.2">
      <c r="A23" s="343" t="s">
        <v>701</v>
      </c>
      <c r="B23" s="346"/>
      <c r="C23" s="344">
        <v>54.186999999999998</v>
      </c>
      <c r="D23" s="346"/>
      <c r="E23" s="346"/>
      <c r="F23" s="346"/>
      <c r="G23" s="340">
        <v>54.186999999999998</v>
      </c>
    </row>
    <row r="24" spans="1:7" x14ac:dyDescent="0.2">
      <c r="A24" s="341" t="s">
        <v>702</v>
      </c>
      <c r="B24" s="342"/>
      <c r="C24" s="342"/>
      <c r="D24" s="342"/>
      <c r="E24" s="342"/>
      <c r="F24" s="342"/>
      <c r="G24" s="342"/>
    </row>
    <row r="25" spans="1:7" x14ac:dyDescent="0.2">
      <c r="A25" s="343" t="s">
        <v>703</v>
      </c>
      <c r="B25" s="344">
        <v>9.1159999999999997</v>
      </c>
      <c r="C25" s="346"/>
      <c r="D25" s="346"/>
      <c r="E25" s="346"/>
      <c r="F25" s="344">
        <v>7.07</v>
      </c>
      <c r="G25" s="340">
        <v>16.186</v>
      </c>
    </row>
    <row r="26" spans="1:7" x14ac:dyDescent="0.2">
      <c r="A26" s="343" t="s">
        <v>704</v>
      </c>
      <c r="B26" s="346"/>
      <c r="C26" s="346"/>
      <c r="D26" s="346"/>
      <c r="E26" s="346"/>
      <c r="F26" s="344">
        <v>32.700000000000003</v>
      </c>
      <c r="G26" s="340">
        <v>32.700000000000003</v>
      </c>
    </row>
    <row r="27" spans="1:7" ht="13.5" customHeight="1" x14ac:dyDescent="0.2">
      <c r="A27" s="343" t="s">
        <v>705</v>
      </c>
      <c r="B27" s="346"/>
      <c r="C27" s="344">
        <v>9.7550000000000008</v>
      </c>
      <c r="D27" s="346"/>
      <c r="E27" s="346"/>
      <c r="F27" s="344">
        <v>29.43</v>
      </c>
      <c r="G27" s="340">
        <v>39.185000000000002</v>
      </c>
    </row>
    <row r="28" spans="1:7" ht="13.5" customHeight="1" x14ac:dyDescent="0.2">
      <c r="A28" s="343" t="s">
        <v>706</v>
      </c>
      <c r="B28" s="344">
        <v>3.661</v>
      </c>
      <c r="C28" s="344">
        <v>57.427</v>
      </c>
      <c r="D28" s="346"/>
      <c r="E28" s="346"/>
      <c r="F28" s="344">
        <v>53.97</v>
      </c>
      <c r="G28" s="340">
        <v>115.05799999999999</v>
      </c>
    </row>
    <row r="29" spans="1:7" ht="13.5" customHeight="1" x14ac:dyDescent="0.2">
      <c r="A29" s="343" t="s">
        <v>707</v>
      </c>
      <c r="B29" s="344">
        <v>83.094999999999999</v>
      </c>
      <c r="C29" s="344">
        <v>137.286</v>
      </c>
      <c r="D29" s="344">
        <v>22.911999999999999</v>
      </c>
      <c r="E29" s="344">
        <v>1.0820000000000001</v>
      </c>
      <c r="F29" s="344">
        <v>258.07</v>
      </c>
      <c r="G29" s="340">
        <v>502.44499999999999</v>
      </c>
    </row>
    <row r="30" spans="1:7" ht="13.5" customHeight="1" x14ac:dyDescent="0.2">
      <c r="A30" s="343" t="s">
        <v>708</v>
      </c>
      <c r="B30" s="344">
        <v>34.463999999999999</v>
      </c>
      <c r="C30" s="344">
        <v>7.9950000000000001</v>
      </c>
      <c r="D30" s="344">
        <v>18.920999999999999</v>
      </c>
      <c r="E30" s="344">
        <v>1.1100000000000001</v>
      </c>
      <c r="F30" s="344">
        <v>56.23</v>
      </c>
      <c r="G30" s="340">
        <v>118.72</v>
      </c>
    </row>
    <row r="31" spans="1:7" ht="13.5" customHeight="1" x14ac:dyDescent="0.2">
      <c r="A31" s="343" t="s">
        <v>709</v>
      </c>
      <c r="B31" s="344">
        <v>137.04</v>
      </c>
      <c r="C31" s="346"/>
      <c r="D31" s="344">
        <v>9.1910000000000007</v>
      </c>
      <c r="E31" s="344">
        <v>0.39300000000000002</v>
      </c>
      <c r="F31" s="344">
        <v>68.16</v>
      </c>
      <c r="G31" s="340">
        <v>214.78399999999999</v>
      </c>
    </row>
    <row r="32" spans="1:7" ht="13.5" customHeight="1" x14ac:dyDescent="0.2">
      <c r="A32" s="343" t="s">
        <v>710</v>
      </c>
      <c r="B32" s="344">
        <v>3.048</v>
      </c>
      <c r="C32" s="344">
        <v>2.8820000000000001</v>
      </c>
      <c r="D32" s="344">
        <v>68.536000000000001</v>
      </c>
      <c r="E32" s="344">
        <v>0.25</v>
      </c>
      <c r="F32" s="346"/>
      <c r="G32" s="340">
        <v>74.716000000000008</v>
      </c>
    </row>
    <row r="33" spans="1:7" ht="13.5" customHeight="1" x14ac:dyDescent="0.2">
      <c r="A33" s="343" t="s">
        <v>711</v>
      </c>
      <c r="B33" s="344">
        <v>167.21199999999999</v>
      </c>
      <c r="C33" s="346">
        <v>129.35400000000001</v>
      </c>
      <c r="D33" s="346">
        <v>2.5609999999999999</v>
      </c>
      <c r="E33" s="344">
        <v>2.6269999999999998</v>
      </c>
      <c r="F33" s="344">
        <v>446.57</v>
      </c>
      <c r="G33" s="340">
        <v>748.32400000000007</v>
      </c>
    </row>
    <row r="34" spans="1:7" ht="13.5" customHeight="1" x14ac:dyDescent="0.2">
      <c r="A34" s="343" t="s">
        <v>712</v>
      </c>
      <c r="B34" s="344">
        <v>60.173999999999999</v>
      </c>
      <c r="C34" s="346"/>
      <c r="D34" s="346"/>
      <c r="E34" s="346"/>
      <c r="F34" s="346"/>
      <c r="G34" s="340">
        <v>60.173999999999999</v>
      </c>
    </row>
    <row r="35" spans="1:7" ht="13.5" customHeight="1" x14ac:dyDescent="0.2">
      <c r="A35" s="343" t="s">
        <v>713</v>
      </c>
      <c r="B35" s="344">
        <v>0.64900000000000002</v>
      </c>
      <c r="C35" s="346"/>
      <c r="D35" s="346"/>
      <c r="E35" s="346"/>
      <c r="F35" s="344"/>
      <c r="G35" s="340">
        <v>0.64900000000000002</v>
      </c>
    </row>
    <row r="36" spans="1:7" ht="13.5" customHeight="1" x14ac:dyDescent="0.2">
      <c r="A36" s="343" t="s">
        <v>714</v>
      </c>
      <c r="B36" s="346"/>
      <c r="C36" s="344">
        <v>0.182</v>
      </c>
      <c r="D36" s="346"/>
      <c r="E36" s="346"/>
      <c r="F36" s="346"/>
      <c r="G36" s="340">
        <v>0.182</v>
      </c>
    </row>
    <row r="37" spans="1:7" ht="13.5" customHeight="1" x14ac:dyDescent="0.2">
      <c r="A37" s="343" t="s">
        <v>715</v>
      </c>
      <c r="B37" s="344">
        <v>21.032</v>
      </c>
      <c r="C37" s="344">
        <v>52.341999999999999</v>
      </c>
      <c r="D37" s="344">
        <v>9.7750000000000004</v>
      </c>
      <c r="E37" s="344">
        <v>2.274</v>
      </c>
      <c r="F37" s="344">
        <v>40.24</v>
      </c>
      <c r="G37" s="340">
        <v>125.66300000000001</v>
      </c>
    </row>
    <row r="38" spans="1:7" ht="13.5" customHeight="1" x14ac:dyDescent="0.2">
      <c r="A38" s="343" t="s">
        <v>716</v>
      </c>
      <c r="B38" s="346"/>
      <c r="C38" s="344">
        <v>0.80700000000000005</v>
      </c>
      <c r="D38" s="346"/>
      <c r="E38" s="346"/>
      <c r="F38" s="344">
        <v>23.05</v>
      </c>
      <c r="G38" s="340">
        <v>23.856999999999999</v>
      </c>
    </row>
    <row r="39" spans="1:7" ht="13.5" customHeight="1" x14ac:dyDescent="0.2">
      <c r="A39" s="343" t="s">
        <v>717</v>
      </c>
      <c r="B39" s="344">
        <v>0.109</v>
      </c>
      <c r="C39" s="344">
        <v>5.48</v>
      </c>
      <c r="D39" s="346"/>
      <c r="E39" s="346"/>
      <c r="F39" s="344">
        <v>0.84</v>
      </c>
      <c r="G39" s="340">
        <v>6.4290000000000003</v>
      </c>
    </row>
    <row r="40" spans="1:7" ht="13.5" customHeight="1" x14ac:dyDescent="0.2">
      <c r="A40" s="343" t="s">
        <v>718</v>
      </c>
      <c r="B40" s="344"/>
      <c r="C40" s="344">
        <v>12.972</v>
      </c>
      <c r="D40" s="346"/>
      <c r="E40" s="346"/>
      <c r="F40" s="344">
        <v>10.3</v>
      </c>
      <c r="G40" s="340">
        <v>23.271999999999998</v>
      </c>
    </row>
    <row r="41" spans="1:7" ht="13.5" customHeight="1" x14ac:dyDescent="0.2">
      <c r="A41" s="343" t="s">
        <v>719</v>
      </c>
      <c r="B41" s="344">
        <v>0.34699999999999998</v>
      </c>
      <c r="C41" s="344">
        <v>0.55700000000000005</v>
      </c>
      <c r="D41" s="346"/>
      <c r="E41" s="346"/>
      <c r="F41" s="346"/>
      <c r="G41" s="340">
        <v>0.90400000000000003</v>
      </c>
    </row>
    <row r="42" spans="1:7" ht="13.5" customHeight="1" x14ac:dyDescent="0.2">
      <c r="A42" s="343" t="s">
        <v>720</v>
      </c>
      <c r="B42" s="344">
        <v>2.919</v>
      </c>
      <c r="C42" s="344">
        <v>3.585</v>
      </c>
      <c r="D42" s="346"/>
      <c r="E42" s="346"/>
      <c r="F42" s="346"/>
      <c r="G42" s="340">
        <v>6.5039999999999996</v>
      </c>
    </row>
    <row r="43" spans="1:7" x14ac:dyDescent="0.2">
      <c r="A43" s="341" t="s">
        <v>721</v>
      </c>
      <c r="B43" s="342"/>
      <c r="C43" s="342"/>
      <c r="D43" s="342"/>
      <c r="E43" s="342"/>
      <c r="F43" s="342"/>
      <c r="G43" s="342"/>
    </row>
    <row r="44" spans="1:7" ht="16.5" customHeight="1" x14ac:dyDescent="0.2">
      <c r="A44" s="343" t="s">
        <v>722</v>
      </c>
      <c r="B44" s="346">
        <v>30.928000000000001</v>
      </c>
      <c r="C44" s="344">
        <v>176.68899999999999</v>
      </c>
      <c r="D44" s="344">
        <v>21.059000000000001</v>
      </c>
      <c r="E44" s="346"/>
      <c r="F44" s="346"/>
      <c r="G44" s="340">
        <v>228.67599999999999</v>
      </c>
    </row>
    <row r="45" spans="1:7" x14ac:dyDescent="0.2">
      <c r="A45" s="343" t="s">
        <v>723</v>
      </c>
      <c r="B45" s="346"/>
      <c r="C45" s="344">
        <v>33.375999999999998</v>
      </c>
      <c r="D45" s="346"/>
      <c r="E45" s="346"/>
      <c r="F45" s="346"/>
      <c r="G45" s="340">
        <v>33.375999999999998</v>
      </c>
    </row>
    <row r="46" spans="1:7" x14ac:dyDescent="0.2">
      <c r="A46" s="343" t="s">
        <v>724</v>
      </c>
      <c r="B46" s="346">
        <v>15.173999999999999</v>
      </c>
      <c r="C46" s="344">
        <v>48.768999999999998</v>
      </c>
      <c r="D46" s="346"/>
      <c r="E46" s="346"/>
      <c r="F46" s="346"/>
      <c r="G46" s="340">
        <v>63.942999999999998</v>
      </c>
    </row>
    <row r="47" spans="1:7" x14ac:dyDescent="0.2">
      <c r="A47" s="343" t="s">
        <v>725</v>
      </c>
      <c r="B47" s="346">
        <v>35.253999999999998</v>
      </c>
      <c r="C47" s="344">
        <v>11.218999999999999</v>
      </c>
      <c r="D47" s="344">
        <v>7.1909999999999998</v>
      </c>
      <c r="E47" s="344">
        <v>2.1999999999999999E-2</v>
      </c>
      <c r="F47" s="346">
        <v>20.309999999999999</v>
      </c>
      <c r="G47" s="340">
        <v>73.995999999999995</v>
      </c>
    </row>
    <row r="48" spans="1:7" x14ac:dyDescent="0.2">
      <c r="A48" s="343" t="s">
        <v>600</v>
      </c>
      <c r="B48" s="344">
        <v>54.715000000000003</v>
      </c>
      <c r="C48" s="346"/>
      <c r="D48" s="346"/>
      <c r="E48" s="346"/>
      <c r="F48" s="344"/>
      <c r="G48" s="340">
        <v>54.715000000000003</v>
      </c>
    </row>
    <row r="49" spans="1:7" x14ac:dyDescent="0.2">
      <c r="A49" s="343" t="s">
        <v>726</v>
      </c>
      <c r="B49" s="346"/>
      <c r="C49" s="346"/>
      <c r="D49" s="346"/>
      <c r="E49" s="346"/>
      <c r="F49" s="344">
        <v>46.88</v>
      </c>
      <c r="G49" s="340">
        <v>46.88</v>
      </c>
    </row>
    <row r="50" spans="1:7" x14ac:dyDescent="0.2">
      <c r="A50" s="303" t="s">
        <v>47</v>
      </c>
      <c r="B50" s="347">
        <f>+SUM(B3:B49)</f>
        <v>1597.6229999999994</v>
      </c>
      <c r="C50" s="347">
        <f>+SUM(C3:C49)</f>
        <v>1188.3050000000001</v>
      </c>
      <c r="D50" s="347">
        <f>+SUM(D3:D49)</f>
        <v>328.39399999999995</v>
      </c>
      <c r="E50" s="347">
        <f>+SUM(E3:E49)</f>
        <v>13.183000000000002</v>
      </c>
      <c r="F50" s="347">
        <f>+SUM(F3:F49)</f>
        <v>2777.5700000000006</v>
      </c>
      <c r="G50" s="347">
        <f t="shared" ref="G50" si="0">+SUM(B50:F50)</f>
        <v>5905.0749999999998</v>
      </c>
    </row>
  </sheetData>
  <mergeCells count="1">
    <mergeCell ref="A1:G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24"/>
  <sheetViews>
    <sheetView workbookViewId="0">
      <selection activeCell="K14" sqref="K14"/>
    </sheetView>
  </sheetViews>
  <sheetFormatPr baseColWidth="10" defaultColWidth="11.42578125" defaultRowHeight="11.25" x14ac:dyDescent="0.2"/>
  <cols>
    <col min="1" max="1" width="21.28515625" style="152" customWidth="1"/>
    <col min="2" max="16384" width="11.42578125" style="152"/>
  </cols>
  <sheetData>
    <row r="1" spans="1:9" x14ac:dyDescent="0.2">
      <c r="A1" s="547" t="s">
        <v>727</v>
      </c>
      <c r="B1" s="547"/>
      <c r="C1" s="547"/>
      <c r="D1" s="547"/>
      <c r="E1" s="547"/>
      <c r="F1" s="547"/>
      <c r="G1" s="547"/>
      <c r="H1" s="547"/>
      <c r="I1" s="547"/>
    </row>
    <row r="2" spans="1:9" x14ac:dyDescent="0.2">
      <c r="A2" s="341" t="s">
        <v>728</v>
      </c>
      <c r="B2" s="303">
        <v>2013</v>
      </c>
      <c r="C2" s="303">
        <v>2014</v>
      </c>
      <c r="D2" s="303">
        <v>2015</v>
      </c>
      <c r="E2" s="303">
        <v>2016</v>
      </c>
      <c r="F2" s="303">
        <v>2017</v>
      </c>
      <c r="G2" s="303">
        <v>2018</v>
      </c>
      <c r="H2" s="303">
        <v>2019</v>
      </c>
      <c r="I2" s="303">
        <v>2020</v>
      </c>
    </row>
    <row r="3" spans="1:9" ht="12.75" customHeight="1" x14ac:dyDescent="0.2">
      <c r="A3" s="343" t="s">
        <v>729</v>
      </c>
      <c r="B3" s="344">
        <v>17959.600948373656</v>
      </c>
      <c r="C3" s="344">
        <v>18242.630397279565</v>
      </c>
      <c r="D3" s="344">
        <v>18869.396918413026</v>
      </c>
      <c r="E3" s="344">
        <v>20018.4463801436</v>
      </c>
      <c r="F3" s="344">
        <v>20831.265137278857</v>
      </c>
      <c r="G3" s="344">
        <v>22266.041246740861</v>
      </c>
      <c r="H3" s="344">
        <v>23157.711440912637</v>
      </c>
      <c r="I3" s="344">
        <v>20542.908579253573</v>
      </c>
    </row>
    <row r="4" spans="1:9" ht="12.75" customHeight="1" x14ac:dyDescent="0.2">
      <c r="A4" s="343" t="s">
        <v>730</v>
      </c>
      <c r="B4" s="344"/>
      <c r="C4" s="344"/>
      <c r="D4" s="344"/>
      <c r="E4" s="344"/>
      <c r="F4" s="344"/>
      <c r="G4" s="344"/>
      <c r="H4" s="344"/>
      <c r="I4" s="344">
        <v>9.43</v>
      </c>
    </row>
    <row r="5" spans="1:9" x14ac:dyDescent="0.2">
      <c r="A5" s="343" t="s">
        <v>731</v>
      </c>
      <c r="B5" s="344">
        <v>0.12</v>
      </c>
      <c r="C5" s="344">
        <v>15.631999999999996</v>
      </c>
      <c r="D5" s="344">
        <v>4.2919999999999998</v>
      </c>
      <c r="E5" s="344">
        <v>1.5388600000000001</v>
      </c>
      <c r="F5" s="344">
        <v>0.28800000000000003</v>
      </c>
      <c r="G5" s="344">
        <v>0.26400000000000001</v>
      </c>
      <c r="H5" s="348">
        <v>4.35013698630137E-2</v>
      </c>
      <c r="I5" s="348">
        <v>18.702571428571424</v>
      </c>
    </row>
    <row r="6" spans="1:9" x14ac:dyDescent="0.2">
      <c r="A6" s="343" t="s">
        <v>732</v>
      </c>
      <c r="B6" s="344">
        <v>3.9040000000000004</v>
      </c>
      <c r="C6" s="344">
        <v>38.293000000000006</v>
      </c>
      <c r="D6" s="344">
        <v>6.7930000000000001</v>
      </c>
      <c r="E6" s="344">
        <v>15.00614</v>
      </c>
      <c r="F6" s="344">
        <v>13.617000000000001</v>
      </c>
      <c r="G6" s="344">
        <v>15.548</v>
      </c>
      <c r="H6" s="344">
        <v>24.837000000000003</v>
      </c>
      <c r="I6" s="344">
        <v>58.464952380952383</v>
      </c>
    </row>
    <row r="7" spans="1:9" x14ac:dyDescent="0.2">
      <c r="A7" s="343" t="s">
        <v>733</v>
      </c>
      <c r="B7" s="344">
        <v>586.47569047619049</v>
      </c>
      <c r="C7" s="344">
        <v>685.45099999999991</v>
      </c>
      <c r="D7" s="344">
        <v>788.80160000000001</v>
      </c>
      <c r="E7" s="344">
        <v>958.79824190476188</v>
      </c>
      <c r="F7" s="344">
        <v>1082.0818571428572</v>
      </c>
      <c r="G7" s="344">
        <v>1249.614</v>
      </c>
      <c r="H7" s="344">
        <v>1426.37528</v>
      </c>
      <c r="I7" s="344">
        <v>1277.7527828571431</v>
      </c>
    </row>
    <row r="8" spans="1:9" x14ac:dyDescent="0.2">
      <c r="A8" s="343" t="s">
        <v>734</v>
      </c>
      <c r="B8" s="344">
        <v>1344.4134761904761</v>
      </c>
      <c r="C8" s="344">
        <v>1255.2926666666663</v>
      </c>
      <c r="D8" s="344">
        <v>1263.5804285714287</v>
      </c>
      <c r="E8" s="344">
        <v>1316.6556666666665</v>
      </c>
      <c r="F8" s="344">
        <v>1355.4582380952381</v>
      </c>
      <c r="G8" s="344">
        <v>1351.9897142857144</v>
      </c>
      <c r="H8" s="344">
        <v>1357.432</v>
      </c>
      <c r="I8" s="344">
        <v>1154.4881797619048</v>
      </c>
    </row>
    <row r="9" spans="1:9" x14ac:dyDescent="0.2">
      <c r="A9" s="343" t="s">
        <v>735</v>
      </c>
      <c r="B9" s="344">
        <v>301.60000000000002</v>
      </c>
      <c r="C9" s="344">
        <v>291.20000000000005</v>
      </c>
      <c r="D9" s="344">
        <v>335.2</v>
      </c>
      <c r="E9" s="344">
        <v>360.2000000000001</v>
      </c>
      <c r="F9" s="344">
        <v>347.20000000000005</v>
      </c>
      <c r="G9" s="344">
        <v>333.01</v>
      </c>
      <c r="H9" s="344">
        <v>306.18</v>
      </c>
      <c r="I9" s="344">
        <v>181.04416666666665</v>
      </c>
    </row>
    <row r="10" spans="1:9" x14ac:dyDescent="0.2">
      <c r="A10" s="343" t="s">
        <v>736</v>
      </c>
      <c r="B10" s="344">
        <v>497.95571428571424</v>
      </c>
      <c r="C10" s="344">
        <v>536.17200000000003</v>
      </c>
      <c r="D10" s="344">
        <v>668.14291000000003</v>
      </c>
      <c r="E10" s="344">
        <v>741.62773000000004</v>
      </c>
      <c r="F10" s="344">
        <v>765.57920000000001</v>
      </c>
      <c r="G10" s="344">
        <v>805.10772628571431</v>
      </c>
      <c r="H10" s="344">
        <v>788.53705000000002</v>
      </c>
      <c r="I10" s="344">
        <v>601.54926190476192</v>
      </c>
    </row>
    <row r="11" spans="1:9" x14ac:dyDescent="0.2">
      <c r="A11" s="343" t="s">
        <v>737</v>
      </c>
      <c r="B11" s="344">
        <v>1408.7783095238096</v>
      </c>
      <c r="C11" s="344">
        <v>1716.0679999999998</v>
      </c>
      <c r="D11" s="344">
        <v>2224.02376</v>
      </c>
      <c r="E11" s="344">
        <v>2828.7838200000006</v>
      </c>
      <c r="F11" s="344">
        <v>3216.3726699999997</v>
      </c>
      <c r="G11" s="344">
        <v>3515.0192114285715</v>
      </c>
      <c r="H11" s="344">
        <v>3900.98981</v>
      </c>
      <c r="I11" s="344">
        <v>2996.6615476190473</v>
      </c>
    </row>
    <row r="12" spans="1:9" x14ac:dyDescent="0.2">
      <c r="A12" s="343" t="s">
        <v>738</v>
      </c>
      <c r="B12" s="344">
        <v>5519.1597619047607</v>
      </c>
      <c r="C12" s="344">
        <v>5948.1109999999999</v>
      </c>
      <c r="D12" s="344">
        <v>7074.3304099999996</v>
      </c>
      <c r="E12" s="344">
        <v>8238.3738500000018</v>
      </c>
      <c r="F12" s="344">
        <v>8732.0878799999991</v>
      </c>
      <c r="G12" s="344">
        <v>9344.4750966666688</v>
      </c>
      <c r="H12" s="344">
        <v>9638.6552599999995</v>
      </c>
      <c r="I12" s="344">
        <v>7426.3729423333334</v>
      </c>
    </row>
    <row r="13" spans="1:9" x14ac:dyDescent="0.2">
      <c r="A13" s="343" t="s">
        <v>739</v>
      </c>
      <c r="B13" s="344">
        <v>3304.7047857142852</v>
      </c>
      <c r="C13" s="344">
        <v>3019.5569999999998</v>
      </c>
      <c r="D13" s="344">
        <v>2605.0019999999995</v>
      </c>
      <c r="E13" s="344">
        <v>2313.8300000000004</v>
      </c>
      <c r="F13" s="344">
        <v>1925.75</v>
      </c>
      <c r="G13" s="344">
        <v>1649.7679523809522</v>
      </c>
      <c r="H13" s="344">
        <v>1334.423</v>
      </c>
      <c r="I13" s="344">
        <v>969.85142857142876</v>
      </c>
    </row>
    <row r="14" spans="1:9" x14ac:dyDescent="0.2">
      <c r="A14" s="343" t="s">
        <v>740</v>
      </c>
      <c r="B14" s="344">
        <v>6065.2282333333333</v>
      </c>
      <c r="C14" s="344">
        <v>6686.73</v>
      </c>
      <c r="D14" s="344">
        <v>7042.3222604761904</v>
      </c>
      <c r="E14" s="344">
        <v>7808.0920933333337</v>
      </c>
      <c r="F14" s="344">
        <v>7945.6238423809527</v>
      </c>
      <c r="G14" s="344">
        <v>8242.6567471428571</v>
      </c>
      <c r="H14" s="344">
        <v>8400.6262348</v>
      </c>
      <c r="I14" s="344">
        <v>2875.6173000000008</v>
      </c>
    </row>
    <row r="15" spans="1:9" x14ac:dyDescent="0.2">
      <c r="A15" s="343" t="s">
        <v>741</v>
      </c>
      <c r="B15" s="344">
        <v>18289.9407333333</v>
      </c>
      <c r="C15" s="344">
        <v>17773.96</v>
      </c>
      <c r="D15" s="344">
        <v>18774.010190476187</v>
      </c>
      <c r="E15" s="344">
        <v>13634.776880952382</v>
      </c>
      <c r="F15" s="344">
        <v>5798.1060476190469</v>
      </c>
      <c r="G15" s="344">
        <v>3783.0611428571433</v>
      </c>
      <c r="H15" s="344">
        <v>3877.482</v>
      </c>
      <c r="I15" s="344">
        <v>1888.8373999999999</v>
      </c>
    </row>
    <row r="16" spans="1:9" x14ac:dyDescent="0.2">
      <c r="A16" s="343" t="s">
        <v>742</v>
      </c>
      <c r="B16" s="344">
        <v>19092.835189523812</v>
      </c>
      <c r="C16" s="344">
        <v>18760.739460000004</v>
      </c>
      <c r="D16" s="344">
        <v>20874.328809999999</v>
      </c>
      <c r="E16" s="344">
        <v>28075.840700000001</v>
      </c>
      <c r="F16" s="344">
        <v>35855.475489999997</v>
      </c>
      <c r="G16" s="344">
        <v>37693.524192857141</v>
      </c>
      <c r="H16" s="344">
        <v>38981.429505699998</v>
      </c>
      <c r="I16" s="344">
        <v>33743.887786000007</v>
      </c>
    </row>
    <row r="17" spans="1:9" x14ac:dyDescent="0.2">
      <c r="A17" s="343" t="s">
        <v>743</v>
      </c>
      <c r="B17" s="344">
        <v>1156.01</v>
      </c>
      <c r="C17" s="344">
        <v>877.52</v>
      </c>
      <c r="D17" s="344">
        <v>792.02799999999991</v>
      </c>
      <c r="E17" s="344">
        <v>757.4</v>
      </c>
      <c r="F17" s="344">
        <v>843.41200000000003</v>
      </c>
      <c r="G17" s="344">
        <v>1182.5139999999999</v>
      </c>
      <c r="H17" s="344">
        <v>984.52400000000011</v>
      </c>
      <c r="I17" s="344">
        <v>1020.8772619047619</v>
      </c>
    </row>
    <row r="18" spans="1:9" x14ac:dyDescent="0.2">
      <c r="A18" s="343" t="s">
        <v>744</v>
      </c>
      <c r="B18" s="344">
        <v>1444.3681980952381</v>
      </c>
      <c r="C18" s="344">
        <v>721.69900000000018</v>
      </c>
      <c r="D18" s="344">
        <v>757.55700000000002</v>
      </c>
      <c r="E18" s="344">
        <v>698.5</v>
      </c>
      <c r="F18" s="344">
        <v>668.11900000000003</v>
      </c>
      <c r="G18" s="344">
        <v>771.23500000000001</v>
      </c>
      <c r="H18" s="344">
        <v>609.35500000000002</v>
      </c>
      <c r="I18" s="344">
        <v>316.85797619047617</v>
      </c>
    </row>
    <row r="19" spans="1:9" ht="13.5" customHeight="1" x14ac:dyDescent="0.2">
      <c r="A19" s="343" t="s">
        <v>745</v>
      </c>
      <c r="B19" s="344">
        <v>1554.97</v>
      </c>
      <c r="C19" s="344">
        <v>924.17</v>
      </c>
      <c r="D19" s="344">
        <v>1069.7170000000001</v>
      </c>
      <c r="E19" s="344">
        <v>1363.47252</v>
      </c>
      <c r="F19" s="344">
        <v>1241.6948100000002</v>
      </c>
      <c r="G19" s="344">
        <v>1114.4632900000001</v>
      </c>
      <c r="H19" s="344">
        <v>1329.7549999999999</v>
      </c>
      <c r="I19" s="344">
        <v>793.04700000000014</v>
      </c>
    </row>
    <row r="20" spans="1:9" x14ac:dyDescent="0.2">
      <c r="A20" s="343" t="s">
        <v>640</v>
      </c>
      <c r="B20" s="344">
        <v>222.50342999999998</v>
      </c>
      <c r="C20" s="344">
        <v>221.58600000000001</v>
      </c>
      <c r="D20" s="344">
        <v>163.14099999999999</v>
      </c>
      <c r="E20" s="344">
        <v>151.63999999999999</v>
      </c>
      <c r="F20" s="344">
        <v>173.65800000000002</v>
      </c>
      <c r="G20" s="344">
        <v>171.63300000000001</v>
      </c>
      <c r="H20" s="344">
        <v>160.41000000000003</v>
      </c>
      <c r="I20" s="344">
        <v>71.687380952380948</v>
      </c>
    </row>
    <row r="21" spans="1:9" x14ac:dyDescent="0.2">
      <c r="A21" s="343" t="s">
        <v>641</v>
      </c>
      <c r="B21" s="344">
        <v>1133.0111200000001</v>
      </c>
      <c r="C21" s="344">
        <v>1447.5119999999999</v>
      </c>
      <c r="D21" s="344">
        <v>1246.8420000000001</v>
      </c>
      <c r="E21" s="344">
        <v>1171.249</v>
      </c>
      <c r="F21" s="344">
        <v>1473.9109999999998</v>
      </c>
      <c r="G21" s="344">
        <v>1478.298</v>
      </c>
      <c r="H21" s="344">
        <v>1342.6339999999998</v>
      </c>
      <c r="I21" s="344">
        <v>686.06692857142855</v>
      </c>
    </row>
    <row r="22" spans="1:9" x14ac:dyDescent="0.2">
      <c r="A22" s="343" t="s">
        <v>627</v>
      </c>
      <c r="B22" s="344">
        <v>924.03945952380968</v>
      </c>
      <c r="C22" s="344">
        <v>698.05899999999997</v>
      </c>
      <c r="D22" s="344">
        <v>697.14192904761899</v>
      </c>
      <c r="E22" s="344">
        <v>460.59288761904793</v>
      </c>
      <c r="F22" s="344">
        <v>492.58883714285707</v>
      </c>
      <c r="G22" s="344">
        <v>456.56966714285699</v>
      </c>
      <c r="H22" s="344">
        <v>578.16198566190474</v>
      </c>
      <c r="I22" s="344">
        <v>295.28904333333327</v>
      </c>
    </row>
    <row r="23" spans="1:9" x14ac:dyDescent="0.2">
      <c r="A23" s="303" t="s">
        <v>47</v>
      </c>
      <c r="B23" s="337">
        <f t="shared" ref="B23:I23" si="0">+SUM(B3:B22)</f>
        <v>80809.619050278357</v>
      </c>
      <c r="C23" s="337">
        <f t="shared" si="0"/>
        <v>79860.382523946231</v>
      </c>
      <c r="D23" s="337">
        <f t="shared" si="0"/>
        <v>85256.651216984479</v>
      </c>
      <c r="E23" s="337">
        <f t="shared" si="0"/>
        <v>90914.824770619787</v>
      </c>
      <c r="F23" s="337">
        <f t="shared" si="0"/>
        <v>92762.289009659798</v>
      </c>
      <c r="G23" s="337">
        <f t="shared" si="0"/>
        <v>95424.791987788471</v>
      </c>
      <c r="H23" s="337">
        <f t="shared" si="0"/>
        <v>98199.562068444415</v>
      </c>
      <c r="I23" s="337">
        <f t="shared" si="0"/>
        <v>76929.394489729777</v>
      </c>
    </row>
    <row r="24" spans="1:9" x14ac:dyDescent="0.2">
      <c r="A24" s="349" t="s">
        <v>746</v>
      </c>
      <c r="B24" s="350">
        <v>221.39621657610508</v>
      </c>
      <c r="C24" s="350">
        <v>218.7955685587568</v>
      </c>
      <c r="D24" s="350">
        <v>233.57986634790268</v>
      </c>
      <c r="E24" s="350">
        <v>248.4011605754639</v>
      </c>
      <c r="F24" s="350">
        <v>254.14325756071179</v>
      </c>
      <c r="G24" s="350">
        <v>261.43778626791362</v>
      </c>
      <c r="H24" s="350">
        <f>+H23/365</f>
        <v>269.03989607792988</v>
      </c>
      <c r="I24" s="350">
        <f>+I23/366</f>
        <v>210.18960243095569</v>
      </c>
    </row>
  </sheetData>
  <mergeCells count="1">
    <mergeCell ref="A1:I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18"/>
  <sheetViews>
    <sheetView workbookViewId="0">
      <selection activeCell="K14" sqref="K14"/>
    </sheetView>
  </sheetViews>
  <sheetFormatPr baseColWidth="10" defaultColWidth="11.42578125" defaultRowHeight="11.25" x14ac:dyDescent="0.2"/>
  <cols>
    <col min="1" max="16384" width="11.42578125" style="152"/>
  </cols>
  <sheetData>
    <row r="1" spans="1:9" ht="22.5" x14ac:dyDescent="0.2">
      <c r="A1" s="547">
        <v>2020</v>
      </c>
      <c r="B1" s="547" t="s">
        <v>747</v>
      </c>
      <c r="C1" s="547"/>
      <c r="D1" s="547"/>
      <c r="E1" s="547"/>
      <c r="F1" s="547" t="s">
        <v>748</v>
      </c>
      <c r="G1" s="301" t="s">
        <v>616</v>
      </c>
      <c r="H1" s="301" t="s">
        <v>749</v>
      </c>
      <c r="I1" s="301" t="s">
        <v>750</v>
      </c>
    </row>
    <row r="2" spans="1:9" ht="22.5" x14ac:dyDescent="0.2">
      <c r="A2" s="547"/>
      <c r="B2" s="303" t="s">
        <v>751</v>
      </c>
      <c r="C2" s="303" t="s">
        <v>752</v>
      </c>
      <c r="D2" s="303" t="s">
        <v>753</v>
      </c>
      <c r="E2" s="303" t="s">
        <v>754</v>
      </c>
      <c r="F2" s="547"/>
      <c r="G2" s="303" t="s">
        <v>755</v>
      </c>
      <c r="H2" s="303" t="s">
        <v>756</v>
      </c>
      <c r="I2" s="303" t="s">
        <v>757</v>
      </c>
    </row>
    <row r="3" spans="1:9" x14ac:dyDescent="0.2">
      <c r="A3" s="343" t="s">
        <v>339</v>
      </c>
      <c r="B3" s="344">
        <v>11.94</v>
      </c>
      <c r="C3" s="344">
        <v>12.43</v>
      </c>
      <c r="D3" s="344">
        <v>14.37</v>
      </c>
      <c r="E3" s="344">
        <v>15.24</v>
      </c>
      <c r="F3" s="344">
        <v>12.72</v>
      </c>
      <c r="G3" s="344">
        <v>38.72</v>
      </c>
      <c r="H3" s="344">
        <v>1.38</v>
      </c>
      <c r="I3" s="344">
        <v>1.49</v>
      </c>
    </row>
    <row r="4" spans="1:9" x14ac:dyDescent="0.2">
      <c r="A4" s="351" t="s">
        <v>340</v>
      </c>
      <c r="B4" s="352">
        <v>11.89</v>
      </c>
      <c r="C4" s="352">
        <v>12.23</v>
      </c>
      <c r="D4" s="352">
        <v>13.96</v>
      </c>
      <c r="E4" s="352">
        <v>14.89</v>
      </c>
      <c r="F4" s="352">
        <v>12.74</v>
      </c>
      <c r="G4" s="352">
        <v>38.72</v>
      </c>
      <c r="H4" s="352">
        <v>1.38</v>
      </c>
      <c r="I4" s="352">
        <v>1.49</v>
      </c>
    </row>
    <row r="5" spans="1:9" x14ac:dyDescent="0.2">
      <c r="A5" s="343" t="s">
        <v>341</v>
      </c>
      <c r="B5" s="344">
        <v>11.75</v>
      </c>
      <c r="C5" s="344">
        <v>11.96</v>
      </c>
      <c r="D5" s="344">
        <v>13.58</v>
      </c>
      <c r="E5" s="344">
        <v>14.55</v>
      </c>
      <c r="F5" s="344">
        <v>12.62</v>
      </c>
      <c r="G5" s="344">
        <v>38.76</v>
      </c>
      <c r="H5" s="344">
        <v>1.38</v>
      </c>
      <c r="I5" s="344">
        <v>1.49</v>
      </c>
    </row>
    <row r="6" spans="1:9" x14ac:dyDescent="0.2">
      <c r="A6" s="351" t="s">
        <v>342</v>
      </c>
      <c r="B6" s="352">
        <v>11.7</v>
      </c>
      <c r="C6" s="352">
        <v>11.78</v>
      </c>
      <c r="D6" s="352">
        <v>13.41</v>
      </c>
      <c r="E6" s="352">
        <v>14.36</v>
      </c>
      <c r="F6" s="352">
        <v>12.54</v>
      </c>
      <c r="G6" s="352">
        <v>38.99</v>
      </c>
      <c r="H6" s="352">
        <v>1.38</v>
      </c>
      <c r="I6" s="352">
        <v>1.51</v>
      </c>
    </row>
    <row r="7" spans="1:9" x14ac:dyDescent="0.2">
      <c r="A7" s="343" t="s">
        <v>343</v>
      </c>
      <c r="B7" s="344">
        <v>11.54</v>
      </c>
      <c r="C7" s="344">
        <v>11.5</v>
      </c>
      <c r="D7" s="344">
        <v>13.09</v>
      </c>
      <c r="E7" s="344">
        <v>14</v>
      </c>
      <c r="F7" s="344">
        <v>12.11</v>
      </c>
      <c r="G7" s="344">
        <v>37.07</v>
      </c>
      <c r="H7" s="344">
        <v>1.37</v>
      </c>
      <c r="I7" s="344">
        <v>1.53</v>
      </c>
    </row>
    <row r="8" spans="1:9" x14ac:dyDescent="0.2">
      <c r="A8" s="351" t="s">
        <v>344</v>
      </c>
      <c r="B8" s="352">
        <v>11.12</v>
      </c>
      <c r="C8" s="352">
        <v>11.13</v>
      </c>
      <c r="D8" s="352">
        <v>12.56</v>
      </c>
      <c r="E8" s="352">
        <v>13.49</v>
      </c>
      <c r="F8" s="352">
        <v>11.45</v>
      </c>
      <c r="G8" s="352">
        <v>37.520000000000003</v>
      </c>
      <c r="H8" s="352">
        <v>1.35</v>
      </c>
      <c r="I8" s="352">
        <v>1.53</v>
      </c>
    </row>
    <row r="9" spans="1:9" x14ac:dyDescent="0.2">
      <c r="A9" s="343" t="s">
        <v>345</v>
      </c>
      <c r="B9" s="344">
        <v>10.71</v>
      </c>
      <c r="C9" s="344">
        <v>10.71</v>
      </c>
      <c r="D9" s="344">
        <v>12.11</v>
      </c>
      <c r="E9" s="344">
        <v>12.91</v>
      </c>
      <c r="F9" s="344">
        <v>11.04</v>
      </c>
      <c r="G9" s="344">
        <v>38.01</v>
      </c>
      <c r="H9" s="344">
        <v>1.34</v>
      </c>
      <c r="I9" s="344">
        <v>1.51</v>
      </c>
    </row>
    <row r="10" spans="1:9" x14ac:dyDescent="0.2">
      <c r="A10" s="351" t="s">
        <v>346</v>
      </c>
      <c r="B10" s="352">
        <v>10.5</v>
      </c>
      <c r="C10" s="352">
        <v>10.6</v>
      </c>
      <c r="D10" s="352">
        <v>11.88</v>
      </c>
      <c r="E10" s="352">
        <v>12.74</v>
      </c>
      <c r="F10" s="352">
        <v>11.06</v>
      </c>
      <c r="G10" s="352">
        <v>38.01</v>
      </c>
      <c r="H10" s="352">
        <v>1.32</v>
      </c>
      <c r="I10" s="352">
        <v>1.5</v>
      </c>
    </row>
    <row r="11" spans="1:9" x14ac:dyDescent="0.2">
      <c r="A11" s="343" t="s">
        <v>758</v>
      </c>
      <c r="B11" s="344">
        <v>10.69</v>
      </c>
      <c r="C11" s="344">
        <v>10.91</v>
      </c>
      <c r="D11" s="344">
        <v>12.28</v>
      </c>
      <c r="E11" s="344">
        <v>13.1</v>
      </c>
      <c r="F11" s="344">
        <v>11.13</v>
      </c>
      <c r="G11" s="344">
        <v>38.56</v>
      </c>
      <c r="H11" s="344">
        <v>1.32</v>
      </c>
      <c r="I11" s="344">
        <v>1.49</v>
      </c>
    </row>
    <row r="12" spans="1:9" x14ac:dyDescent="0.2">
      <c r="A12" s="351" t="s">
        <v>348</v>
      </c>
      <c r="B12" s="352">
        <v>10.62</v>
      </c>
      <c r="C12" s="352">
        <v>10.81</v>
      </c>
      <c r="D12" s="352">
        <v>12.26</v>
      </c>
      <c r="E12" s="352">
        <v>13.06</v>
      </c>
      <c r="F12" s="352">
        <v>10.99</v>
      </c>
      <c r="G12" s="352">
        <v>38.56</v>
      </c>
      <c r="H12" s="352">
        <v>1.32</v>
      </c>
      <c r="I12" s="352">
        <v>1.49</v>
      </c>
    </row>
    <row r="13" spans="1:9" x14ac:dyDescent="0.2">
      <c r="A13" s="343" t="s">
        <v>349</v>
      </c>
      <c r="B13" s="344">
        <v>10.61</v>
      </c>
      <c r="C13" s="344">
        <v>10.77</v>
      </c>
      <c r="D13" s="344">
        <v>12.24</v>
      </c>
      <c r="E13" s="344">
        <v>13.03</v>
      </c>
      <c r="F13" s="344">
        <v>10.89</v>
      </c>
      <c r="G13" s="344">
        <v>38.840000000000003</v>
      </c>
      <c r="H13" s="344">
        <v>1.35</v>
      </c>
      <c r="I13" s="344">
        <v>1.49</v>
      </c>
    </row>
    <row r="14" spans="1:9" x14ac:dyDescent="0.2">
      <c r="A14" s="351" t="s">
        <v>350</v>
      </c>
      <c r="B14" s="352">
        <v>10.71</v>
      </c>
      <c r="C14" s="352">
        <v>10.85</v>
      </c>
      <c r="D14" s="352">
        <v>12.35</v>
      </c>
      <c r="E14" s="352">
        <v>13.15</v>
      </c>
      <c r="F14" s="352">
        <v>11.28</v>
      </c>
      <c r="G14" s="352">
        <v>39.53</v>
      </c>
      <c r="H14" s="352">
        <v>1.45</v>
      </c>
      <c r="I14" s="352">
        <v>1.49</v>
      </c>
    </row>
    <row r="18" spans="1:1" x14ac:dyDescent="0.2">
      <c r="A18" s="353" t="s">
        <v>759</v>
      </c>
    </row>
  </sheetData>
  <mergeCells count="3">
    <mergeCell ref="A1:A2"/>
    <mergeCell ref="B1:E1"/>
    <mergeCell ref="F1:F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17"/>
  <sheetViews>
    <sheetView workbookViewId="0">
      <selection activeCell="K14" sqref="K14"/>
    </sheetView>
  </sheetViews>
  <sheetFormatPr baseColWidth="10" defaultColWidth="11.42578125" defaultRowHeight="11.25" x14ac:dyDescent="0.2"/>
  <cols>
    <col min="1" max="4" width="11.42578125" style="152"/>
    <col min="5" max="5" width="12.85546875" style="152" customWidth="1"/>
    <col min="6" max="16384" width="11.42578125" style="152"/>
  </cols>
  <sheetData>
    <row r="1" spans="1:5" x14ac:dyDescent="0.2">
      <c r="A1" s="547">
        <v>2020</v>
      </c>
      <c r="B1" s="547" t="s">
        <v>747</v>
      </c>
      <c r="C1" s="547"/>
      <c r="D1" s="547" t="s">
        <v>581</v>
      </c>
      <c r="E1" s="301" t="s">
        <v>616</v>
      </c>
    </row>
    <row r="2" spans="1:5" ht="22.5" x14ac:dyDescent="0.2">
      <c r="A2" s="547"/>
      <c r="B2" s="303" t="s">
        <v>760</v>
      </c>
      <c r="C2" s="303" t="s">
        <v>761</v>
      </c>
      <c r="D2" s="547"/>
      <c r="E2" s="303" t="s">
        <v>762</v>
      </c>
    </row>
    <row r="3" spans="1:5" x14ac:dyDescent="0.2">
      <c r="A3" s="354" t="s">
        <v>339</v>
      </c>
      <c r="B3" s="344">
        <v>12.38</v>
      </c>
      <c r="C3" s="344">
        <v>13.1</v>
      </c>
      <c r="D3" s="344">
        <v>12.87</v>
      </c>
      <c r="E3" s="344">
        <v>38.74</v>
      </c>
    </row>
    <row r="4" spans="1:5" x14ac:dyDescent="0.2">
      <c r="A4" s="355" t="s">
        <v>340</v>
      </c>
      <c r="B4" s="352">
        <v>12.31</v>
      </c>
      <c r="C4" s="352">
        <v>13.11</v>
      </c>
      <c r="D4" s="352">
        <v>12.86</v>
      </c>
      <c r="E4" s="352">
        <v>38.869999999999997</v>
      </c>
    </row>
    <row r="5" spans="1:5" x14ac:dyDescent="0.2">
      <c r="A5" s="354" t="s">
        <v>341</v>
      </c>
      <c r="B5" s="344">
        <v>12.04</v>
      </c>
      <c r="C5" s="344">
        <v>12.71</v>
      </c>
      <c r="D5" s="344">
        <v>12.77</v>
      </c>
      <c r="E5" s="344">
        <v>38.869999999999997</v>
      </c>
    </row>
    <row r="6" spans="1:5" x14ac:dyDescent="0.2">
      <c r="A6" s="355" t="s">
        <v>342</v>
      </c>
      <c r="B6" s="352">
        <v>11.94</v>
      </c>
      <c r="C6" s="352">
        <v>12.69</v>
      </c>
      <c r="D6" s="352">
        <v>12.71</v>
      </c>
      <c r="E6" s="352">
        <v>38.869999999999997</v>
      </c>
    </row>
    <row r="7" spans="1:5" x14ac:dyDescent="0.2">
      <c r="A7" s="354" t="s">
        <v>343</v>
      </c>
      <c r="B7" s="344">
        <v>11.84</v>
      </c>
      <c r="C7" s="344">
        <v>12.6</v>
      </c>
      <c r="D7" s="344">
        <v>12.6</v>
      </c>
      <c r="E7" s="344">
        <v>35.619999999999997</v>
      </c>
    </row>
    <row r="8" spans="1:5" x14ac:dyDescent="0.2">
      <c r="A8" s="355" t="s">
        <v>344</v>
      </c>
      <c r="B8" s="352">
        <v>11.45</v>
      </c>
      <c r="C8" s="352">
        <v>12.06</v>
      </c>
      <c r="D8" s="352">
        <v>11.16</v>
      </c>
      <c r="E8" s="352">
        <v>35.619999999999997</v>
      </c>
    </row>
    <row r="9" spans="1:5" x14ac:dyDescent="0.2">
      <c r="A9" s="354" t="s">
        <v>345</v>
      </c>
      <c r="B9" s="344">
        <v>10.73</v>
      </c>
      <c r="C9" s="344">
        <v>11.78</v>
      </c>
      <c r="D9" s="344">
        <v>10.83</v>
      </c>
      <c r="E9" s="344">
        <v>36.630000000000003</v>
      </c>
    </row>
    <row r="10" spans="1:5" x14ac:dyDescent="0.2">
      <c r="A10" s="355" t="s">
        <v>346</v>
      </c>
      <c r="B10" s="352">
        <v>10.62</v>
      </c>
      <c r="C10" s="352">
        <v>11.72</v>
      </c>
      <c r="D10" s="352">
        <v>10.87</v>
      </c>
      <c r="E10" s="352">
        <v>36.630000000000003</v>
      </c>
    </row>
    <row r="11" spans="1:5" x14ac:dyDescent="0.2">
      <c r="A11" s="354" t="s">
        <v>758</v>
      </c>
      <c r="B11" s="344">
        <v>10.92</v>
      </c>
      <c r="C11" s="344">
        <v>12.3</v>
      </c>
      <c r="D11" s="344">
        <v>11.04</v>
      </c>
      <c r="E11" s="344">
        <v>36.49</v>
      </c>
    </row>
    <row r="12" spans="1:5" x14ac:dyDescent="0.2">
      <c r="A12" s="355" t="s">
        <v>348</v>
      </c>
      <c r="B12" s="352">
        <v>10.84</v>
      </c>
      <c r="C12" s="352">
        <v>12.23</v>
      </c>
      <c r="D12" s="352">
        <v>10.96</v>
      </c>
      <c r="E12" s="352">
        <v>36.49</v>
      </c>
    </row>
    <row r="13" spans="1:5" x14ac:dyDescent="0.2">
      <c r="A13" s="354" t="s">
        <v>349</v>
      </c>
      <c r="B13" s="344">
        <v>10.72</v>
      </c>
      <c r="C13" s="344">
        <v>12.18</v>
      </c>
      <c r="D13" s="344">
        <v>10.8</v>
      </c>
      <c r="E13" s="344">
        <v>36.22</v>
      </c>
    </row>
    <row r="14" spans="1:5" x14ac:dyDescent="0.2">
      <c r="A14" s="355" t="s">
        <v>350</v>
      </c>
      <c r="B14" s="352">
        <v>10.83</v>
      </c>
      <c r="C14" s="352">
        <v>12.18</v>
      </c>
      <c r="D14" s="352">
        <v>11.15</v>
      </c>
      <c r="E14" s="352">
        <v>36.22</v>
      </c>
    </row>
    <row r="17" spans="1:1" x14ac:dyDescent="0.2">
      <c r="A17" s="353" t="s">
        <v>763</v>
      </c>
    </row>
  </sheetData>
  <mergeCells count="3">
    <mergeCell ref="A1:A2"/>
    <mergeCell ref="B1:C1"/>
    <mergeCell ref="D1:D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17"/>
  <sheetViews>
    <sheetView workbookViewId="0">
      <selection activeCell="K14" sqref="K14"/>
    </sheetView>
  </sheetViews>
  <sheetFormatPr baseColWidth="10" defaultColWidth="11.42578125" defaultRowHeight="11.25" x14ac:dyDescent="0.2"/>
  <cols>
    <col min="1" max="16384" width="11.42578125" style="152"/>
  </cols>
  <sheetData>
    <row r="1" spans="1:5" x14ac:dyDescent="0.2">
      <c r="A1" s="547">
        <v>2020</v>
      </c>
      <c r="B1" s="547" t="s">
        <v>747</v>
      </c>
      <c r="C1" s="547"/>
      <c r="D1" s="547"/>
      <c r="E1" s="301" t="s">
        <v>616</v>
      </c>
    </row>
    <row r="2" spans="1:5" ht="22.5" x14ac:dyDescent="0.2">
      <c r="A2" s="547"/>
      <c r="B2" s="303" t="s">
        <v>760</v>
      </c>
      <c r="C2" s="303" t="s">
        <v>761</v>
      </c>
      <c r="D2" s="303" t="s">
        <v>753</v>
      </c>
      <c r="E2" s="303" t="s">
        <v>762</v>
      </c>
    </row>
    <row r="3" spans="1:5" x14ac:dyDescent="0.2">
      <c r="A3" s="343" t="s">
        <v>339</v>
      </c>
      <c r="B3" s="344">
        <v>12.45</v>
      </c>
      <c r="C3" s="344">
        <v>13.27</v>
      </c>
      <c r="D3" s="344">
        <v>15.88</v>
      </c>
      <c r="E3" s="344">
        <v>36.17</v>
      </c>
    </row>
    <row r="4" spans="1:5" x14ac:dyDescent="0.2">
      <c r="A4" s="351" t="s">
        <v>340</v>
      </c>
      <c r="B4" s="352">
        <v>12.41</v>
      </c>
      <c r="C4" s="352">
        <v>13.3</v>
      </c>
      <c r="D4" s="352">
        <v>15.71</v>
      </c>
      <c r="E4" s="352">
        <v>36.17</v>
      </c>
    </row>
    <row r="5" spans="1:5" x14ac:dyDescent="0.2">
      <c r="A5" s="343" t="s">
        <v>341</v>
      </c>
      <c r="B5" s="344">
        <v>11.43</v>
      </c>
      <c r="C5" s="344">
        <v>11.95</v>
      </c>
      <c r="D5" s="344">
        <v>14.06</v>
      </c>
      <c r="E5" s="344">
        <v>36.17</v>
      </c>
    </row>
    <row r="6" spans="1:5" x14ac:dyDescent="0.2">
      <c r="A6" s="351" t="s">
        <v>342</v>
      </c>
      <c r="B6" s="352">
        <v>12.08</v>
      </c>
      <c r="C6" s="352">
        <v>12.58</v>
      </c>
      <c r="D6" s="352">
        <v>14.82</v>
      </c>
      <c r="E6" s="352">
        <v>36.17</v>
      </c>
    </row>
    <row r="7" spans="1:5" x14ac:dyDescent="0.2">
      <c r="A7" s="343" t="s">
        <v>343</v>
      </c>
      <c r="B7" s="344">
        <v>12.05</v>
      </c>
      <c r="C7" s="344">
        <v>12.53</v>
      </c>
      <c r="D7" s="344">
        <v>14.75</v>
      </c>
      <c r="E7" s="344">
        <v>36.17</v>
      </c>
    </row>
    <row r="8" spans="1:5" x14ac:dyDescent="0.2">
      <c r="A8" s="351" t="s">
        <v>344</v>
      </c>
      <c r="B8" s="352">
        <v>11.72</v>
      </c>
      <c r="C8" s="352">
        <v>12.2</v>
      </c>
      <c r="D8" s="352">
        <v>14.43</v>
      </c>
      <c r="E8" s="352">
        <v>36.17</v>
      </c>
    </row>
    <row r="9" spans="1:5" x14ac:dyDescent="0.2">
      <c r="A9" s="343" t="s">
        <v>345</v>
      </c>
      <c r="B9" s="344">
        <v>11.31</v>
      </c>
      <c r="C9" s="344">
        <v>11.9</v>
      </c>
      <c r="D9" s="344">
        <v>14.15</v>
      </c>
      <c r="E9" s="344">
        <v>36.17</v>
      </c>
    </row>
    <row r="10" spans="1:5" x14ac:dyDescent="0.2">
      <c r="A10" s="351" t="s">
        <v>346</v>
      </c>
      <c r="B10" s="352">
        <v>11.28</v>
      </c>
      <c r="C10" s="352">
        <v>11.81</v>
      </c>
      <c r="D10" s="352">
        <v>13.97</v>
      </c>
      <c r="E10" s="352">
        <v>36.17</v>
      </c>
    </row>
    <row r="11" spans="1:5" x14ac:dyDescent="0.2">
      <c r="A11" s="343" t="s">
        <v>758</v>
      </c>
      <c r="B11" s="344">
        <v>11.24</v>
      </c>
      <c r="C11" s="344">
        <v>11.86</v>
      </c>
      <c r="D11" s="344">
        <v>14.05</v>
      </c>
      <c r="E11" s="344">
        <v>35.840000000000003</v>
      </c>
    </row>
    <row r="12" spans="1:5" x14ac:dyDescent="0.2">
      <c r="A12" s="351" t="s">
        <v>348</v>
      </c>
      <c r="B12" s="352">
        <v>11.21</v>
      </c>
      <c r="C12" s="352">
        <v>11.83</v>
      </c>
      <c r="D12" s="352">
        <v>14.02</v>
      </c>
      <c r="E12" s="352">
        <v>35.79</v>
      </c>
    </row>
    <row r="13" spans="1:5" x14ac:dyDescent="0.2">
      <c r="A13" s="343" t="s">
        <v>349</v>
      </c>
      <c r="B13" s="344">
        <v>11.14</v>
      </c>
      <c r="C13" s="344">
        <v>11.72</v>
      </c>
      <c r="D13" s="344">
        <v>13.88</v>
      </c>
      <c r="E13" s="344">
        <v>35.86</v>
      </c>
    </row>
    <row r="14" spans="1:5" x14ac:dyDescent="0.2">
      <c r="A14" s="351" t="s">
        <v>350</v>
      </c>
      <c r="B14" s="352">
        <v>11.12</v>
      </c>
      <c r="C14" s="352">
        <v>11.61</v>
      </c>
      <c r="D14" s="352">
        <v>13.79</v>
      </c>
      <c r="E14" s="352">
        <v>36.17</v>
      </c>
    </row>
    <row r="17" spans="1:1" x14ac:dyDescent="0.2">
      <c r="A17" s="353" t="s">
        <v>764</v>
      </c>
    </row>
  </sheetData>
  <mergeCells count="2">
    <mergeCell ref="A1:A2"/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K45"/>
  <sheetViews>
    <sheetView showGridLines="0" zoomScale="80" zoomScaleNormal="80" workbookViewId="0">
      <selection activeCell="E16" sqref="E16"/>
    </sheetView>
  </sheetViews>
  <sheetFormatPr baseColWidth="10" defaultColWidth="9.85546875" defaultRowHeight="11.25" x14ac:dyDescent="0.25"/>
  <cols>
    <col min="1" max="1" width="19.140625" style="1" customWidth="1"/>
    <col min="2" max="2" width="9.5703125" style="2" customWidth="1"/>
    <col min="3" max="11" width="9.5703125" style="3" customWidth="1"/>
    <col min="12" max="16384" width="9.85546875" style="3"/>
  </cols>
  <sheetData>
    <row r="2" spans="1:11" ht="12.75" x14ac:dyDescent="0.25">
      <c r="A2" s="440" t="s">
        <v>59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</row>
    <row r="4" spans="1:11" s="2" customFormat="1" ht="14.45" customHeight="1" x14ac:dyDescent="0.25">
      <c r="A4" s="441" t="s">
        <v>60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</row>
    <row r="5" spans="1:11" s="2" customFormat="1" ht="14.45" customHeight="1" x14ac:dyDescent="0.25">
      <c r="A5" s="441" t="s">
        <v>61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</row>
    <row r="6" spans="1:11" s="2" customFormat="1" ht="14.45" customHeight="1" x14ac:dyDescent="0.25">
      <c r="A6" s="7" t="s">
        <v>3</v>
      </c>
      <c r="B6" s="7" t="s">
        <v>4</v>
      </c>
      <c r="C6" s="7">
        <v>2012</v>
      </c>
      <c r="D6" s="7">
        <v>2013</v>
      </c>
      <c r="E6" s="7">
        <v>2014</v>
      </c>
      <c r="F6" s="7">
        <v>2015</v>
      </c>
      <c r="G6" s="7">
        <v>2016</v>
      </c>
      <c r="H6" s="7">
        <v>2017</v>
      </c>
      <c r="I6" s="7">
        <v>2018</v>
      </c>
      <c r="J6" s="7">
        <v>2019</v>
      </c>
      <c r="K6" s="7">
        <v>2020</v>
      </c>
    </row>
    <row r="7" spans="1:11" ht="14.45" customHeight="1" x14ac:dyDescent="0.25">
      <c r="A7" s="9" t="s">
        <v>62</v>
      </c>
      <c r="B7" s="10" t="s">
        <v>63</v>
      </c>
      <c r="C7" s="52" t="s">
        <v>7</v>
      </c>
      <c r="D7" s="52" t="s">
        <v>7</v>
      </c>
      <c r="E7" s="52" t="s">
        <v>7</v>
      </c>
      <c r="F7" s="52" t="s">
        <v>7</v>
      </c>
      <c r="G7" s="52" t="s">
        <v>7</v>
      </c>
      <c r="H7" s="52">
        <v>1</v>
      </c>
      <c r="I7" s="52" t="s">
        <v>7</v>
      </c>
      <c r="J7" s="52" t="s">
        <v>7</v>
      </c>
      <c r="K7" s="52" t="s">
        <v>7</v>
      </c>
    </row>
    <row r="8" spans="1:11" ht="14.45" customHeight="1" x14ac:dyDescent="0.25">
      <c r="A8" s="17" t="s">
        <v>62</v>
      </c>
      <c r="B8" s="18" t="s">
        <v>64</v>
      </c>
      <c r="C8" s="53" t="s">
        <v>7</v>
      </c>
      <c r="D8" s="53" t="s">
        <v>7</v>
      </c>
      <c r="E8" s="53" t="s">
        <v>7</v>
      </c>
      <c r="F8" s="53" t="s">
        <v>7</v>
      </c>
      <c r="G8" s="53" t="s">
        <v>7</v>
      </c>
      <c r="H8" s="53" t="s">
        <v>7</v>
      </c>
      <c r="I8" s="53">
        <v>1</v>
      </c>
      <c r="J8" s="53" t="s">
        <v>7</v>
      </c>
      <c r="K8" s="53" t="s">
        <v>7</v>
      </c>
    </row>
    <row r="9" spans="1:11" ht="14.45" customHeight="1" x14ac:dyDescent="0.25">
      <c r="A9" s="9" t="s">
        <v>26</v>
      </c>
      <c r="B9" s="10" t="s">
        <v>65</v>
      </c>
      <c r="C9" s="52" t="s">
        <v>7</v>
      </c>
      <c r="D9" s="52" t="s">
        <v>7</v>
      </c>
      <c r="E9" s="52" t="s">
        <v>7</v>
      </c>
      <c r="F9" s="52" t="s">
        <v>7</v>
      </c>
      <c r="G9" s="52" t="s">
        <v>7</v>
      </c>
      <c r="H9" s="52" t="s">
        <v>7</v>
      </c>
      <c r="I9" s="52">
        <v>1</v>
      </c>
      <c r="J9" s="52" t="s">
        <v>7</v>
      </c>
      <c r="K9" s="52" t="s">
        <v>7</v>
      </c>
    </row>
    <row r="10" spans="1:11" ht="14.45" customHeight="1" x14ac:dyDescent="0.25">
      <c r="A10" s="17" t="s">
        <v>66</v>
      </c>
      <c r="B10" s="18" t="s">
        <v>11</v>
      </c>
      <c r="C10" s="53" t="s">
        <v>7</v>
      </c>
      <c r="D10" s="53" t="s">
        <v>7</v>
      </c>
      <c r="E10" s="53" t="s">
        <v>7</v>
      </c>
      <c r="F10" s="53" t="s">
        <v>7</v>
      </c>
      <c r="G10" s="53" t="s">
        <v>7</v>
      </c>
      <c r="H10" s="53">
        <v>1</v>
      </c>
      <c r="I10" s="53">
        <v>1</v>
      </c>
      <c r="J10" s="53">
        <v>1</v>
      </c>
      <c r="K10" s="53" t="s">
        <v>7</v>
      </c>
    </row>
    <row r="11" spans="1:11" ht="14.45" customHeight="1" x14ac:dyDescent="0.25">
      <c r="A11" s="9" t="s">
        <v>67</v>
      </c>
      <c r="B11" s="10" t="s">
        <v>6</v>
      </c>
      <c r="C11" s="52" t="s">
        <v>7</v>
      </c>
      <c r="D11" s="52" t="s">
        <v>7</v>
      </c>
      <c r="E11" s="52" t="s">
        <v>7</v>
      </c>
      <c r="F11" s="52" t="s">
        <v>7</v>
      </c>
      <c r="G11" s="52" t="s">
        <v>7</v>
      </c>
      <c r="H11" s="52" t="s">
        <v>7</v>
      </c>
      <c r="I11" s="52" t="s">
        <v>7</v>
      </c>
      <c r="J11" s="52" t="s">
        <v>7</v>
      </c>
      <c r="K11" s="52" t="s">
        <v>7</v>
      </c>
    </row>
    <row r="12" spans="1:11" ht="14.45" customHeight="1" x14ac:dyDescent="0.25">
      <c r="A12" s="17" t="s">
        <v>68</v>
      </c>
      <c r="B12" s="18" t="s">
        <v>69</v>
      </c>
      <c r="C12" s="53" t="s">
        <v>7</v>
      </c>
      <c r="D12" s="53" t="s">
        <v>7</v>
      </c>
      <c r="E12" s="53" t="s">
        <v>7</v>
      </c>
      <c r="F12" s="53" t="s">
        <v>7</v>
      </c>
      <c r="G12" s="53" t="s">
        <v>7</v>
      </c>
      <c r="H12" s="53" t="s">
        <v>7</v>
      </c>
      <c r="I12" s="53" t="s">
        <v>7</v>
      </c>
      <c r="J12" s="53" t="s">
        <v>7</v>
      </c>
      <c r="K12" s="53" t="s">
        <v>7</v>
      </c>
    </row>
    <row r="13" spans="1:11" ht="14.45" customHeight="1" x14ac:dyDescent="0.25">
      <c r="A13" s="9" t="s">
        <v>68</v>
      </c>
      <c r="B13" s="10" t="s">
        <v>40</v>
      </c>
      <c r="C13" s="52" t="s">
        <v>7</v>
      </c>
      <c r="D13" s="52" t="s">
        <v>7</v>
      </c>
      <c r="E13" s="52" t="s">
        <v>7</v>
      </c>
      <c r="F13" s="52" t="s">
        <v>7</v>
      </c>
      <c r="G13" s="52" t="s">
        <v>7</v>
      </c>
      <c r="H13" s="52" t="s">
        <v>7</v>
      </c>
      <c r="I13" s="52">
        <v>1</v>
      </c>
      <c r="J13" s="52" t="s">
        <v>7</v>
      </c>
      <c r="K13" s="52" t="s">
        <v>7</v>
      </c>
    </row>
    <row r="14" spans="1:11" ht="14.45" customHeight="1" x14ac:dyDescent="0.25">
      <c r="A14" s="17" t="s">
        <v>8</v>
      </c>
      <c r="B14" s="18" t="s">
        <v>9</v>
      </c>
      <c r="C14" s="53" t="s">
        <v>7</v>
      </c>
      <c r="D14" s="53" t="s">
        <v>7</v>
      </c>
      <c r="E14" s="53">
        <v>2</v>
      </c>
      <c r="F14" s="53" t="s">
        <v>7</v>
      </c>
      <c r="G14" s="53" t="s">
        <v>7</v>
      </c>
      <c r="H14" s="53" t="s">
        <v>7</v>
      </c>
      <c r="I14" s="53" t="s">
        <v>7</v>
      </c>
      <c r="J14" s="53" t="s">
        <v>7</v>
      </c>
      <c r="K14" s="53" t="s">
        <v>7</v>
      </c>
    </row>
    <row r="15" spans="1:11" ht="14.45" customHeight="1" x14ac:dyDescent="0.25">
      <c r="A15" s="9" t="s">
        <v>68</v>
      </c>
      <c r="B15" s="10" t="s">
        <v>70</v>
      </c>
      <c r="C15" s="52" t="s">
        <v>7</v>
      </c>
      <c r="D15" s="52" t="s">
        <v>7</v>
      </c>
      <c r="E15" s="52">
        <v>5</v>
      </c>
      <c r="F15" s="52" t="s">
        <v>7</v>
      </c>
      <c r="G15" s="52" t="s">
        <v>7</v>
      </c>
      <c r="H15" s="52" t="s">
        <v>7</v>
      </c>
      <c r="I15" s="52" t="s">
        <v>7</v>
      </c>
      <c r="J15" s="52" t="s">
        <v>7</v>
      </c>
      <c r="K15" s="52" t="s">
        <v>7</v>
      </c>
    </row>
    <row r="16" spans="1:11" ht="14.45" customHeight="1" x14ac:dyDescent="0.25">
      <c r="A16" s="17" t="s">
        <v>51</v>
      </c>
      <c r="B16" s="18" t="s">
        <v>40</v>
      </c>
      <c r="C16" s="53" t="s">
        <v>7</v>
      </c>
      <c r="D16" s="53" t="s">
        <v>7</v>
      </c>
      <c r="E16" s="53">
        <v>3</v>
      </c>
      <c r="F16" s="53" t="s">
        <v>7</v>
      </c>
      <c r="G16" s="53" t="s">
        <v>7</v>
      </c>
      <c r="H16" s="53" t="s">
        <v>7</v>
      </c>
      <c r="I16" s="53" t="s">
        <v>7</v>
      </c>
      <c r="J16" s="53" t="s">
        <v>7</v>
      </c>
      <c r="K16" s="53" t="s">
        <v>7</v>
      </c>
    </row>
    <row r="17" spans="1:11" ht="14.45" customHeight="1" x14ac:dyDescent="0.25">
      <c r="A17" s="9" t="s">
        <v>71</v>
      </c>
      <c r="B17" s="10" t="s">
        <v>46</v>
      </c>
      <c r="C17" s="52" t="s">
        <v>7</v>
      </c>
      <c r="D17" s="52" t="s">
        <v>7</v>
      </c>
      <c r="E17" s="52">
        <v>1</v>
      </c>
      <c r="F17" s="52" t="s">
        <v>7</v>
      </c>
      <c r="G17" s="52" t="s">
        <v>7</v>
      </c>
      <c r="H17" s="52" t="s">
        <v>7</v>
      </c>
      <c r="I17" s="52" t="s">
        <v>7</v>
      </c>
      <c r="J17" s="52" t="s">
        <v>7</v>
      </c>
      <c r="K17" s="52" t="s">
        <v>7</v>
      </c>
    </row>
    <row r="18" spans="1:11" ht="14.45" customHeight="1" x14ac:dyDescent="0.25">
      <c r="A18" s="17" t="s">
        <v>72</v>
      </c>
      <c r="B18" s="18" t="s">
        <v>73</v>
      </c>
      <c r="C18" s="53" t="s">
        <v>7</v>
      </c>
      <c r="D18" s="53" t="s">
        <v>7</v>
      </c>
      <c r="E18" s="53" t="s">
        <v>7</v>
      </c>
      <c r="F18" s="53" t="s">
        <v>7</v>
      </c>
      <c r="G18" s="53" t="s">
        <v>7</v>
      </c>
      <c r="H18" s="53" t="s">
        <v>7</v>
      </c>
      <c r="I18" s="53" t="s">
        <v>7</v>
      </c>
      <c r="J18" s="53" t="s">
        <v>7</v>
      </c>
      <c r="K18" s="53" t="s">
        <v>7</v>
      </c>
    </row>
    <row r="19" spans="1:11" ht="14.45" customHeight="1" x14ac:dyDescent="0.25">
      <c r="A19" s="9" t="s">
        <v>74</v>
      </c>
      <c r="B19" s="10" t="s">
        <v>41</v>
      </c>
      <c r="C19" s="52" t="s">
        <v>7</v>
      </c>
      <c r="D19" s="52" t="s">
        <v>7</v>
      </c>
      <c r="E19" s="52" t="s">
        <v>7</v>
      </c>
      <c r="F19" s="52" t="s">
        <v>7</v>
      </c>
      <c r="G19" s="52" t="s">
        <v>7</v>
      </c>
      <c r="H19" s="52" t="s">
        <v>7</v>
      </c>
      <c r="I19" s="52" t="s">
        <v>7</v>
      </c>
      <c r="J19" s="52" t="s">
        <v>7</v>
      </c>
      <c r="K19" s="52" t="s">
        <v>7</v>
      </c>
    </row>
    <row r="20" spans="1:11" ht="14.45" customHeight="1" x14ac:dyDescent="0.25">
      <c r="A20" s="439" t="s">
        <v>12</v>
      </c>
      <c r="B20" s="439"/>
      <c r="C20" s="54">
        <v>0</v>
      </c>
      <c r="D20" s="54">
        <v>0</v>
      </c>
      <c r="E20" s="54">
        <v>11</v>
      </c>
      <c r="F20" s="54">
        <v>0</v>
      </c>
      <c r="G20" s="54">
        <v>0</v>
      </c>
      <c r="H20" s="54">
        <v>2</v>
      </c>
      <c r="I20" s="54">
        <v>4</v>
      </c>
      <c r="J20" s="54">
        <v>1</v>
      </c>
      <c r="K20" s="54">
        <f ca="1">SUM(K7:K20)</f>
        <v>0</v>
      </c>
    </row>
    <row r="21" spans="1:11" ht="14.45" customHeight="1" x14ac:dyDescent="0.25">
      <c r="A21" s="9" t="s">
        <v>75</v>
      </c>
      <c r="B21" s="10" t="s">
        <v>76</v>
      </c>
      <c r="C21" s="52">
        <v>2</v>
      </c>
      <c r="D21" s="52">
        <v>2</v>
      </c>
      <c r="E21" s="52" t="s">
        <v>7</v>
      </c>
      <c r="F21" s="52" t="s">
        <v>7</v>
      </c>
      <c r="G21" s="52" t="s">
        <v>7</v>
      </c>
      <c r="H21" s="52" t="s">
        <v>7</v>
      </c>
      <c r="I21" s="52" t="s">
        <v>7</v>
      </c>
      <c r="J21" s="52" t="s">
        <v>7</v>
      </c>
      <c r="K21" s="52" t="s">
        <v>7</v>
      </c>
    </row>
    <row r="22" spans="1:11" ht="22.5" x14ac:dyDescent="0.25">
      <c r="A22" s="17" t="s">
        <v>77</v>
      </c>
      <c r="B22" s="18" t="s">
        <v>52</v>
      </c>
      <c r="C22" s="53" t="s">
        <v>7</v>
      </c>
      <c r="D22" s="53" t="s">
        <v>7</v>
      </c>
      <c r="E22" s="53" t="s">
        <v>7</v>
      </c>
      <c r="F22" s="53" t="s">
        <v>7</v>
      </c>
      <c r="G22" s="53" t="s">
        <v>7</v>
      </c>
      <c r="H22" s="53" t="s">
        <v>7</v>
      </c>
      <c r="I22" s="53">
        <v>1</v>
      </c>
      <c r="J22" s="53" t="s">
        <v>7</v>
      </c>
      <c r="K22" s="53" t="s">
        <v>7</v>
      </c>
    </row>
    <row r="23" spans="1:11" ht="14.45" customHeight="1" x14ac:dyDescent="0.25">
      <c r="A23" s="9" t="s">
        <v>78</v>
      </c>
      <c r="B23" s="10" t="s">
        <v>38</v>
      </c>
      <c r="C23" s="52" t="s">
        <v>7</v>
      </c>
      <c r="D23" s="52" t="s">
        <v>7</v>
      </c>
      <c r="E23" s="52" t="s">
        <v>7</v>
      </c>
      <c r="F23" s="52" t="s">
        <v>7</v>
      </c>
      <c r="G23" s="52" t="s">
        <v>7</v>
      </c>
      <c r="H23" s="52" t="s">
        <v>7</v>
      </c>
      <c r="I23" s="52" t="s">
        <v>7</v>
      </c>
      <c r="J23" s="52" t="s">
        <v>7</v>
      </c>
      <c r="K23" s="52">
        <v>1</v>
      </c>
    </row>
    <row r="24" spans="1:11" ht="14.45" customHeight="1" x14ac:dyDescent="0.25">
      <c r="A24" s="439" t="s">
        <v>21</v>
      </c>
      <c r="B24" s="439"/>
      <c r="C24" s="54">
        <v>2</v>
      </c>
      <c r="D24" s="54">
        <v>2</v>
      </c>
      <c r="E24" s="54">
        <v>0</v>
      </c>
      <c r="F24" s="54">
        <v>0</v>
      </c>
      <c r="G24" s="54">
        <v>0</v>
      </c>
      <c r="H24" s="54">
        <v>0</v>
      </c>
      <c r="I24" s="54">
        <v>1</v>
      </c>
      <c r="J24" s="54">
        <v>0</v>
      </c>
      <c r="K24" s="54">
        <f>SUM(K21:K23)</f>
        <v>1</v>
      </c>
    </row>
    <row r="25" spans="1:11" ht="14.45" customHeight="1" x14ac:dyDescent="0.25">
      <c r="A25" s="9" t="s">
        <v>29</v>
      </c>
      <c r="B25" s="10">
        <v>56</v>
      </c>
      <c r="C25" s="52">
        <v>2</v>
      </c>
      <c r="D25" s="52" t="s">
        <v>7</v>
      </c>
      <c r="E25" s="52" t="s">
        <v>7</v>
      </c>
      <c r="F25" s="52" t="s">
        <v>7</v>
      </c>
      <c r="G25" s="52" t="s">
        <v>7</v>
      </c>
      <c r="H25" s="52" t="s">
        <v>7</v>
      </c>
      <c r="I25" s="52" t="s">
        <v>7</v>
      </c>
      <c r="J25" s="52" t="s">
        <v>7</v>
      </c>
      <c r="K25" s="52" t="s">
        <v>7</v>
      </c>
    </row>
    <row r="26" spans="1:11" ht="14.45" customHeight="1" x14ac:dyDescent="0.25">
      <c r="A26" s="17" t="s">
        <v>30</v>
      </c>
      <c r="B26" s="18">
        <v>57</v>
      </c>
      <c r="C26" s="53">
        <v>2</v>
      </c>
      <c r="D26" s="53" t="s">
        <v>7</v>
      </c>
      <c r="E26" s="53" t="s">
        <v>7</v>
      </c>
      <c r="F26" s="53" t="s">
        <v>7</v>
      </c>
      <c r="G26" s="53" t="s">
        <v>7</v>
      </c>
      <c r="H26" s="53">
        <v>1</v>
      </c>
      <c r="I26" s="53" t="s">
        <v>7</v>
      </c>
      <c r="J26" s="53" t="s">
        <v>7</v>
      </c>
      <c r="K26" s="53" t="s">
        <v>7</v>
      </c>
    </row>
    <row r="27" spans="1:11" ht="14.45" customHeight="1" x14ac:dyDescent="0.25">
      <c r="A27" s="9" t="s">
        <v>26</v>
      </c>
      <c r="B27" s="10">
        <v>58</v>
      </c>
      <c r="C27" s="52" t="s">
        <v>7</v>
      </c>
      <c r="D27" s="52">
        <v>1</v>
      </c>
      <c r="E27" s="52" t="s">
        <v>7</v>
      </c>
      <c r="F27" s="52" t="s">
        <v>7</v>
      </c>
      <c r="G27" s="52" t="s">
        <v>7</v>
      </c>
      <c r="H27" s="52" t="s">
        <v>7</v>
      </c>
      <c r="I27" s="52" t="s">
        <v>7</v>
      </c>
      <c r="J27" s="52" t="s">
        <v>7</v>
      </c>
      <c r="K27" s="52" t="s">
        <v>7</v>
      </c>
    </row>
    <row r="28" spans="1:11" ht="14.45" customHeight="1" x14ac:dyDescent="0.25">
      <c r="A28" s="17" t="s">
        <v>79</v>
      </c>
      <c r="B28" s="18">
        <v>64</v>
      </c>
      <c r="C28" s="53">
        <v>1</v>
      </c>
      <c r="D28" s="53" t="s">
        <v>7</v>
      </c>
      <c r="E28" s="53" t="s">
        <v>7</v>
      </c>
      <c r="F28" s="53" t="s">
        <v>7</v>
      </c>
      <c r="G28" s="53" t="s">
        <v>7</v>
      </c>
      <c r="H28" s="53" t="s">
        <v>7</v>
      </c>
      <c r="I28" s="53" t="s">
        <v>7</v>
      </c>
      <c r="J28" s="53" t="s">
        <v>7</v>
      </c>
      <c r="K28" s="53" t="s">
        <v>7</v>
      </c>
    </row>
    <row r="29" spans="1:11" ht="14.45" customHeight="1" x14ac:dyDescent="0.25">
      <c r="A29" s="9" t="s">
        <v>80</v>
      </c>
      <c r="B29" s="10">
        <v>76</v>
      </c>
      <c r="C29" s="52" t="s">
        <v>7</v>
      </c>
      <c r="D29" s="52" t="s">
        <v>7</v>
      </c>
      <c r="E29" s="52" t="s">
        <v>7</v>
      </c>
      <c r="F29" s="52">
        <v>1</v>
      </c>
      <c r="G29" s="52" t="s">
        <v>7</v>
      </c>
      <c r="H29" s="52" t="s">
        <v>7</v>
      </c>
      <c r="I29" s="52" t="s">
        <v>7</v>
      </c>
      <c r="J29" s="52" t="s">
        <v>7</v>
      </c>
      <c r="K29" s="52" t="s">
        <v>7</v>
      </c>
    </row>
    <row r="30" spans="1:11" ht="14.45" customHeight="1" x14ac:dyDescent="0.25">
      <c r="A30" s="17" t="s">
        <v>29</v>
      </c>
      <c r="B30" s="18">
        <v>88</v>
      </c>
      <c r="C30" s="53" t="s">
        <v>7</v>
      </c>
      <c r="D30" s="53">
        <v>1</v>
      </c>
      <c r="E30" s="53" t="s">
        <v>7</v>
      </c>
      <c r="F30" s="53">
        <v>1</v>
      </c>
      <c r="G30" s="53" t="s">
        <v>7</v>
      </c>
      <c r="H30" s="53" t="s">
        <v>7</v>
      </c>
      <c r="I30" s="53" t="s">
        <v>7</v>
      </c>
      <c r="J30" s="53" t="s">
        <v>7</v>
      </c>
      <c r="K30" s="53" t="s">
        <v>7</v>
      </c>
    </row>
    <row r="31" spans="1:11" ht="14.45" customHeight="1" x14ac:dyDescent="0.25">
      <c r="A31" s="9" t="s">
        <v>81</v>
      </c>
      <c r="B31" s="10">
        <v>95</v>
      </c>
      <c r="C31" s="52" t="s">
        <v>7</v>
      </c>
      <c r="D31" s="52">
        <v>1</v>
      </c>
      <c r="E31" s="52" t="s">
        <v>7</v>
      </c>
      <c r="F31" s="52">
        <v>1</v>
      </c>
      <c r="G31" s="52" t="s">
        <v>7</v>
      </c>
      <c r="H31" s="52" t="s">
        <v>7</v>
      </c>
      <c r="I31" s="52" t="s">
        <v>7</v>
      </c>
      <c r="J31" s="52">
        <v>1</v>
      </c>
      <c r="K31" s="52" t="s">
        <v>7</v>
      </c>
    </row>
    <row r="32" spans="1:11" ht="14.45" customHeight="1" x14ac:dyDescent="0.25">
      <c r="A32" s="17" t="s">
        <v>82</v>
      </c>
      <c r="B32" s="18">
        <v>100</v>
      </c>
      <c r="C32" s="53" t="s">
        <v>7</v>
      </c>
      <c r="D32" s="53" t="s">
        <v>7</v>
      </c>
      <c r="E32" s="53" t="s">
        <v>7</v>
      </c>
      <c r="F32" s="53" t="s">
        <v>7</v>
      </c>
      <c r="G32" s="53" t="s">
        <v>7</v>
      </c>
      <c r="H32" s="53" t="s">
        <v>7</v>
      </c>
      <c r="I32" s="53" t="s">
        <v>7</v>
      </c>
      <c r="J32" s="53" t="s">
        <v>7</v>
      </c>
      <c r="K32" s="53" t="s">
        <v>7</v>
      </c>
    </row>
    <row r="33" spans="1:11" ht="14.45" customHeight="1" x14ac:dyDescent="0.25">
      <c r="A33" s="9" t="s">
        <v>22</v>
      </c>
      <c r="B33" s="10">
        <v>107</v>
      </c>
      <c r="C33" s="52" t="s">
        <v>7</v>
      </c>
      <c r="D33" s="52" t="s">
        <v>7</v>
      </c>
      <c r="E33" s="52" t="s">
        <v>7</v>
      </c>
      <c r="F33" s="52" t="s">
        <v>7</v>
      </c>
      <c r="G33" s="52" t="s">
        <v>7</v>
      </c>
      <c r="H33" s="52" t="s">
        <v>7</v>
      </c>
      <c r="I33" s="52" t="s">
        <v>7</v>
      </c>
      <c r="J33" s="52" t="s">
        <v>7</v>
      </c>
      <c r="K33" s="52" t="s">
        <v>7</v>
      </c>
    </row>
    <row r="34" spans="1:11" ht="14.45" customHeight="1" x14ac:dyDescent="0.25">
      <c r="A34" s="17" t="s">
        <v>29</v>
      </c>
      <c r="B34" s="18">
        <v>108</v>
      </c>
      <c r="C34" s="53" t="s">
        <v>7</v>
      </c>
      <c r="D34" s="53" t="s">
        <v>7</v>
      </c>
      <c r="E34" s="53" t="s">
        <v>7</v>
      </c>
      <c r="F34" s="53" t="s">
        <v>7</v>
      </c>
      <c r="G34" s="53" t="s">
        <v>7</v>
      </c>
      <c r="H34" s="53" t="s">
        <v>7</v>
      </c>
      <c r="I34" s="53" t="s">
        <v>7</v>
      </c>
      <c r="J34" s="53">
        <v>1</v>
      </c>
      <c r="K34" s="53" t="s">
        <v>7</v>
      </c>
    </row>
    <row r="35" spans="1:11" ht="14.45" customHeight="1" x14ac:dyDescent="0.25">
      <c r="A35" s="9" t="s">
        <v>28</v>
      </c>
      <c r="B35" s="10">
        <v>116</v>
      </c>
      <c r="C35" s="52" t="s">
        <v>7</v>
      </c>
      <c r="D35" s="52" t="s">
        <v>7</v>
      </c>
      <c r="E35" s="52">
        <v>1</v>
      </c>
      <c r="F35" s="52" t="s">
        <v>7</v>
      </c>
      <c r="G35" s="52" t="s">
        <v>7</v>
      </c>
      <c r="H35" s="52" t="s">
        <v>7</v>
      </c>
      <c r="I35" s="52" t="s">
        <v>7</v>
      </c>
      <c r="J35" s="52" t="s">
        <v>7</v>
      </c>
      <c r="K35" s="52" t="s">
        <v>7</v>
      </c>
    </row>
    <row r="36" spans="1:11" ht="14.45" customHeight="1" x14ac:dyDescent="0.25">
      <c r="A36" s="17" t="s">
        <v>83</v>
      </c>
      <c r="B36" s="18">
        <v>126</v>
      </c>
      <c r="C36" s="53">
        <v>2</v>
      </c>
      <c r="D36" s="53" t="s">
        <v>7</v>
      </c>
      <c r="E36" s="53" t="s">
        <v>7</v>
      </c>
      <c r="F36" s="53" t="s">
        <v>7</v>
      </c>
      <c r="G36" s="53" t="s">
        <v>7</v>
      </c>
      <c r="H36" s="53" t="s">
        <v>7</v>
      </c>
      <c r="I36" s="53" t="s">
        <v>7</v>
      </c>
      <c r="J36" s="53" t="s">
        <v>7</v>
      </c>
      <c r="K36" s="53" t="s">
        <v>7</v>
      </c>
    </row>
    <row r="37" spans="1:11" ht="14.45" customHeight="1" x14ac:dyDescent="0.25">
      <c r="A37" s="9" t="s">
        <v>79</v>
      </c>
      <c r="B37" s="10">
        <v>103</v>
      </c>
      <c r="C37" s="52" t="s">
        <v>7</v>
      </c>
      <c r="D37" s="52" t="s">
        <v>7</v>
      </c>
      <c r="E37" s="52" t="s">
        <v>7</v>
      </c>
      <c r="F37" s="52" t="s">
        <v>7</v>
      </c>
      <c r="G37" s="52" t="s">
        <v>7</v>
      </c>
      <c r="H37" s="52" t="s">
        <v>7</v>
      </c>
      <c r="I37" s="52" t="s">
        <v>7</v>
      </c>
      <c r="J37" s="52" t="s">
        <v>7</v>
      </c>
      <c r="K37" s="52" t="s">
        <v>7</v>
      </c>
    </row>
    <row r="38" spans="1:11" ht="14.45" customHeight="1" x14ac:dyDescent="0.25">
      <c r="A38" s="17" t="s">
        <v>27</v>
      </c>
      <c r="B38" s="18">
        <v>131</v>
      </c>
      <c r="C38" s="53" t="s">
        <v>7</v>
      </c>
      <c r="D38" s="53">
        <v>1</v>
      </c>
      <c r="E38" s="53" t="s">
        <v>7</v>
      </c>
      <c r="F38" s="53">
        <v>1</v>
      </c>
      <c r="G38" s="53" t="s">
        <v>7</v>
      </c>
      <c r="H38" s="53">
        <v>1</v>
      </c>
      <c r="I38" s="53" t="s">
        <v>7</v>
      </c>
      <c r="J38" s="53" t="s">
        <v>7</v>
      </c>
      <c r="K38" s="53" t="s">
        <v>7</v>
      </c>
    </row>
    <row r="39" spans="1:11" ht="14.45" customHeight="1" x14ac:dyDescent="0.25">
      <c r="A39" s="9" t="s">
        <v>28</v>
      </c>
      <c r="B39" s="10">
        <v>138</v>
      </c>
      <c r="C39" s="52" t="s">
        <v>7</v>
      </c>
      <c r="D39" s="52">
        <v>1</v>
      </c>
      <c r="E39" s="52" t="s">
        <v>7</v>
      </c>
      <c r="F39" s="52" t="s">
        <v>7</v>
      </c>
      <c r="G39" s="52" t="s">
        <v>7</v>
      </c>
      <c r="H39" s="52" t="s">
        <v>7</v>
      </c>
      <c r="I39" s="52" t="s">
        <v>7</v>
      </c>
      <c r="J39" s="52" t="s">
        <v>7</v>
      </c>
      <c r="K39" s="52" t="s">
        <v>7</v>
      </c>
    </row>
    <row r="40" spans="1:11" ht="14.45" customHeight="1" x14ac:dyDescent="0.25">
      <c r="A40" s="17" t="s">
        <v>84</v>
      </c>
      <c r="B40" s="18">
        <v>145</v>
      </c>
      <c r="C40" s="53" t="s">
        <v>7</v>
      </c>
      <c r="D40" s="53" t="s">
        <v>7</v>
      </c>
      <c r="E40" s="53" t="s">
        <v>7</v>
      </c>
      <c r="F40" s="53" t="s">
        <v>7</v>
      </c>
      <c r="G40" s="53" t="s">
        <v>7</v>
      </c>
      <c r="H40" s="53" t="s">
        <v>7</v>
      </c>
      <c r="I40" s="53" t="s">
        <v>7</v>
      </c>
      <c r="J40" s="53" t="s">
        <v>7</v>
      </c>
      <c r="K40" s="53" t="s">
        <v>7</v>
      </c>
    </row>
    <row r="41" spans="1:11" ht="14.45" customHeight="1" x14ac:dyDescent="0.25">
      <c r="A41" s="439" t="s">
        <v>31</v>
      </c>
      <c r="B41" s="439"/>
      <c r="C41" s="54">
        <v>7</v>
      </c>
      <c r="D41" s="54">
        <v>5</v>
      </c>
      <c r="E41" s="54">
        <v>1</v>
      </c>
      <c r="F41" s="54">
        <v>4</v>
      </c>
      <c r="G41" s="54">
        <v>0</v>
      </c>
      <c r="H41" s="54">
        <v>2</v>
      </c>
      <c r="I41" s="54">
        <v>0</v>
      </c>
      <c r="J41" s="54">
        <v>2</v>
      </c>
      <c r="K41" s="54">
        <f>SUM(K25:K40)</f>
        <v>0</v>
      </c>
    </row>
    <row r="42" spans="1:11" ht="14.45" customHeight="1" x14ac:dyDescent="0.25">
      <c r="A42" s="432" t="s">
        <v>32</v>
      </c>
      <c r="B42" s="432"/>
      <c r="C42" s="55">
        <v>9</v>
      </c>
      <c r="D42" s="55">
        <v>7</v>
      </c>
      <c r="E42" s="55">
        <v>12</v>
      </c>
      <c r="F42" s="55">
        <v>4</v>
      </c>
      <c r="G42" s="55">
        <v>0</v>
      </c>
      <c r="H42" s="55">
        <v>4</v>
      </c>
      <c r="I42" s="55">
        <v>5</v>
      </c>
      <c r="J42" s="55">
        <v>3</v>
      </c>
      <c r="K42" s="55">
        <v>1</v>
      </c>
    </row>
    <row r="45" spans="1:11" x14ac:dyDescent="0.25">
      <c r="A45" s="1" t="s">
        <v>33</v>
      </c>
    </row>
  </sheetData>
  <mergeCells count="7">
    <mergeCell ref="A42:B42"/>
    <mergeCell ref="A2:K2"/>
    <mergeCell ref="A4:K4"/>
    <mergeCell ref="A5:K5"/>
    <mergeCell ref="A20:B20"/>
    <mergeCell ref="A24:B24"/>
    <mergeCell ref="A41:B41"/>
  </mergeCells>
  <pageMargins left="0.7" right="0.7" top="0.75" bottom="0.75" header="0.3" footer="0.3"/>
  <pageSetup scale="94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7"/>
  <sheetViews>
    <sheetView workbookViewId="0">
      <selection activeCell="K14" sqref="K14"/>
    </sheetView>
  </sheetViews>
  <sheetFormatPr baseColWidth="10" defaultColWidth="11.42578125" defaultRowHeight="11.25" x14ac:dyDescent="0.2"/>
  <cols>
    <col min="1" max="16384" width="11.42578125" style="152"/>
  </cols>
  <sheetData>
    <row r="1" spans="1:6" x14ac:dyDescent="0.2">
      <c r="A1" s="547">
        <v>2020</v>
      </c>
      <c r="B1" s="547" t="s">
        <v>747</v>
      </c>
      <c r="C1" s="547"/>
      <c r="D1" s="547"/>
      <c r="E1" s="547" t="s">
        <v>581</v>
      </c>
      <c r="F1" s="301" t="s">
        <v>616</v>
      </c>
    </row>
    <row r="2" spans="1:6" ht="22.5" x14ac:dyDescent="0.2">
      <c r="A2" s="547"/>
      <c r="B2" s="303" t="s">
        <v>760</v>
      </c>
      <c r="C2" s="303" t="s">
        <v>761</v>
      </c>
      <c r="D2" s="303" t="s">
        <v>753</v>
      </c>
      <c r="E2" s="547"/>
      <c r="F2" s="303" t="s">
        <v>765</v>
      </c>
    </row>
    <row r="3" spans="1:6" x14ac:dyDescent="0.2">
      <c r="A3" s="343" t="s">
        <v>339</v>
      </c>
      <c r="B3" s="339">
        <v>12.92</v>
      </c>
      <c r="C3" s="339">
        <v>13.31</v>
      </c>
      <c r="D3" s="339">
        <v>14.46</v>
      </c>
      <c r="E3" s="339">
        <v>12.67</v>
      </c>
      <c r="F3" s="339">
        <v>36.35</v>
      </c>
    </row>
    <row r="4" spans="1:6" x14ac:dyDescent="0.2">
      <c r="A4" s="351" t="s">
        <v>340</v>
      </c>
      <c r="B4" s="352">
        <v>12.89</v>
      </c>
      <c r="C4" s="352">
        <v>13.26</v>
      </c>
      <c r="D4" s="352">
        <v>14.37</v>
      </c>
      <c r="E4" s="352">
        <v>12.62</v>
      </c>
      <c r="F4" s="352">
        <v>36.299999999999997</v>
      </c>
    </row>
    <row r="5" spans="1:6" x14ac:dyDescent="0.2">
      <c r="A5" s="343" t="s">
        <v>341</v>
      </c>
      <c r="B5" s="339">
        <v>12.89</v>
      </c>
      <c r="C5" s="339">
        <v>13.26</v>
      </c>
      <c r="D5" s="339">
        <v>14.37</v>
      </c>
      <c r="E5" s="339">
        <v>12.62</v>
      </c>
      <c r="F5" s="339">
        <v>36.35</v>
      </c>
    </row>
    <row r="6" spans="1:6" x14ac:dyDescent="0.2">
      <c r="A6" s="351" t="s">
        <v>342</v>
      </c>
      <c r="B6" s="352">
        <v>12.91</v>
      </c>
      <c r="C6" s="352">
        <v>13.04</v>
      </c>
      <c r="D6" s="352">
        <v>14.04</v>
      </c>
      <c r="E6" s="352">
        <v>12.47</v>
      </c>
      <c r="F6" s="352">
        <v>36.43</v>
      </c>
    </row>
    <row r="7" spans="1:6" x14ac:dyDescent="0.2">
      <c r="A7" s="343" t="s">
        <v>343</v>
      </c>
      <c r="B7" s="339">
        <v>12.43</v>
      </c>
      <c r="C7" s="339">
        <v>12.64</v>
      </c>
      <c r="D7" s="339">
        <v>13.8</v>
      </c>
      <c r="E7" s="339">
        <v>12.08</v>
      </c>
      <c r="F7" s="339">
        <v>35.1</v>
      </c>
    </row>
    <row r="8" spans="1:6" x14ac:dyDescent="0.2">
      <c r="A8" s="351" t="s">
        <v>344</v>
      </c>
      <c r="B8" s="352">
        <v>12.12</v>
      </c>
      <c r="C8" s="352">
        <v>12.08</v>
      </c>
      <c r="D8" s="352">
        <v>13.32</v>
      </c>
      <c r="E8" s="352">
        <v>11.29</v>
      </c>
      <c r="F8" s="352">
        <v>35.380000000000003</v>
      </c>
    </row>
    <row r="9" spans="1:6" x14ac:dyDescent="0.2">
      <c r="A9" s="343" t="s">
        <v>345</v>
      </c>
      <c r="B9" s="339">
        <v>11.49</v>
      </c>
      <c r="C9" s="339">
        <v>11.59</v>
      </c>
      <c r="D9" s="339">
        <v>12.73</v>
      </c>
      <c r="E9" s="339">
        <v>10.49</v>
      </c>
      <c r="F9" s="339">
        <v>35.700000000000003</v>
      </c>
    </row>
    <row r="10" spans="1:6" x14ac:dyDescent="0.2">
      <c r="A10" s="351" t="s">
        <v>346</v>
      </c>
      <c r="B10" s="352">
        <v>11.34</v>
      </c>
      <c r="C10" s="352">
        <v>11.49</v>
      </c>
      <c r="D10" s="352">
        <v>12.51</v>
      </c>
      <c r="E10" s="352">
        <v>10.65</v>
      </c>
      <c r="F10" s="352">
        <v>35.950000000000003</v>
      </c>
    </row>
    <row r="11" spans="1:6" x14ac:dyDescent="0.2">
      <c r="A11" s="343" t="s">
        <v>758</v>
      </c>
      <c r="B11" s="339">
        <v>11.34</v>
      </c>
      <c r="C11" s="339">
        <v>11.56</v>
      </c>
      <c r="D11" s="339">
        <v>12.53</v>
      </c>
      <c r="E11" s="339">
        <v>10.76</v>
      </c>
      <c r="F11" s="339">
        <v>36.43</v>
      </c>
    </row>
    <row r="12" spans="1:6" x14ac:dyDescent="0.2">
      <c r="A12" s="351" t="s">
        <v>348</v>
      </c>
      <c r="B12" s="352">
        <v>11.28</v>
      </c>
      <c r="C12" s="352">
        <v>11.51</v>
      </c>
      <c r="D12" s="352">
        <v>12.45</v>
      </c>
      <c r="E12" s="352">
        <v>10.72</v>
      </c>
      <c r="F12" s="352">
        <v>36.450000000000003</v>
      </c>
    </row>
    <row r="13" spans="1:6" x14ac:dyDescent="0.2">
      <c r="A13" s="343" t="s">
        <v>349</v>
      </c>
      <c r="B13" s="339" t="s">
        <v>7</v>
      </c>
      <c r="C13" s="339">
        <v>11.36</v>
      </c>
      <c r="D13" s="339">
        <v>12.21</v>
      </c>
      <c r="E13" s="339">
        <v>10.66</v>
      </c>
      <c r="F13" s="339">
        <v>37.17</v>
      </c>
    </row>
    <row r="14" spans="1:6" x14ac:dyDescent="0.2">
      <c r="A14" s="351" t="s">
        <v>350</v>
      </c>
      <c r="B14" s="352" t="s">
        <v>7</v>
      </c>
      <c r="C14" s="352">
        <v>11.43</v>
      </c>
      <c r="D14" s="352">
        <v>12.36</v>
      </c>
      <c r="E14" s="352">
        <v>10.91</v>
      </c>
      <c r="F14" s="352">
        <v>38.36</v>
      </c>
    </row>
    <row r="17" spans="1:1" x14ac:dyDescent="0.2">
      <c r="A17" s="353" t="s">
        <v>766</v>
      </c>
    </row>
  </sheetData>
  <mergeCells count="3">
    <mergeCell ref="A1:A2"/>
    <mergeCell ref="B1:D1"/>
    <mergeCell ref="E1:E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6"/>
  <sheetViews>
    <sheetView workbookViewId="0">
      <selection activeCell="K14" sqref="K14"/>
    </sheetView>
  </sheetViews>
  <sheetFormatPr baseColWidth="10" defaultColWidth="11.42578125" defaultRowHeight="11.25" x14ac:dyDescent="0.2"/>
  <cols>
    <col min="1" max="16384" width="11.42578125" style="152"/>
  </cols>
  <sheetData>
    <row r="1" spans="1:6" x14ac:dyDescent="0.2">
      <c r="A1" s="547">
        <v>2020</v>
      </c>
      <c r="B1" s="547" t="s">
        <v>767</v>
      </c>
      <c r="C1" s="547"/>
      <c r="D1" s="547"/>
      <c r="E1" s="547" t="s">
        <v>581</v>
      </c>
      <c r="F1" s="301" t="s">
        <v>616</v>
      </c>
    </row>
    <row r="2" spans="1:6" ht="22.5" x14ac:dyDescent="0.2">
      <c r="A2" s="547"/>
      <c r="B2" s="303" t="s">
        <v>760</v>
      </c>
      <c r="C2" s="303" t="s">
        <v>761</v>
      </c>
      <c r="D2" s="303" t="s">
        <v>753</v>
      </c>
      <c r="E2" s="547"/>
      <c r="F2" s="303" t="s">
        <v>765</v>
      </c>
    </row>
    <row r="3" spans="1:6" x14ac:dyDescent="0.2">
      <c r="A3" s="343" t="s">
        <v>339</v>
      </c>
      <c r="B3" s="339">
        <v>12.29</v>
      </c>
      <c r="C3" s="339">
        <v>12.58</v>
      </c>
      <c r="D3" s="339">
        <v>14.68</v>
      </c>
      <c r="E3" s="339">
        <v>13.03</v>
      </c>
      <c r="F3" s="339">
        <v>37.5</v>
      </c>
    </row>
    <row r="4" spans="1:6" x14ac:dyDescent="0.2">
      <c r="A4" s="351" t="s">
        <v>340</v>
      </c>
      <c r="B4" s="352">
        <v>12.32</v>
      </c>
      <c r="C4" s="352">
        <v>12.5</v>
      </c>
      <c r="D4" s="352">
        <v>14.39</v>
      </c>
      <c r="E4" s="352">
        <v>13.05</v>
      </c>
      <c r="F4" s="352">
        <v>37.72</v>
      </c>
    </row>
    <row r="5" spans="1:6" x14ac:dyDescent="0.2">
      <c r="A5" s="343" t="s">
        <v>341</v>
      </c>
      <c r="B5" s="339">
        <v>12.03</v>
      </c>
      <c r="C5" s="339">
        <v>12.2</v>
      </c>
      <c r="D5" s="339">
        <v>14.11</v>
      </c>
      <c r="E5" s="339">
        <v>12.96</v>
      </c>
      <c r="F5" s="339">
        <v>37.520000000000003</v>
      </c>
    </row>
    <row r="6" spans="1:6" x14ac:dyDescent="0.2">
      <c r="A6" s="351" t="s">
        <v>342</v>
      </c>
      <c r="B6" s="352">
        <v>12</v>
      </c>
      <c r="C6" s="352">
        <v>12</v>
      </c>
      <c r="D6" s="352">
        <v>13.82</v>
      </c>
      <c r="E6" s="352">
        <v>12.77</v>
      </c>
      <c r="F6" s="352">
        <v>38.049999999999997</v>
      </c>
    </row>
    <row r="7" spans="1:6" x14ac:dyDescent="0.2">
      <c r="A7" s="343" t="s">
        <v>343</v>
      </c>
      <c r="B7" s="339">
        <v>11.86</v>
      </c>
      <c r="C7" s="339">
        <v>11.79</v>
      </c>
      <c r="D7" s="339">
        <v>13.57</v>
      </c>
      <c r="E7" s="339">
        <v>12.31</v>
      </c>
      <c r="F7" s="339">
        <v>36.01</v>
      </c>
    </row>
    <row r="8" spans="1:6" x14ac:dyDescent="0.2">
      <c r="A8" s="351" t="s">
        <v>344</v>
      </c>
      <c r="B8" s="352">
        <v>11.34</v>
      </c>
      <c r="C8" s="352">
        <v>11.39</v>
      </c>
      <c r="D8" s="352">
        <v>13.3</v>
      </c>
      <c r="E8" s="352">
        <v>11.69</v>
      </c>
      <c r="F8" s="352">
        <v>35.79</v>
      </c>
    </row>
    <row r="9" spans="1:6" x14ac:dyDescent="0.2">
      <c r="A9" s="343" t="s">
        <v>345</v>
      </c>
      <c r="B9" s="339">
        <v>10.65</v>
      </c>
      <c r="C9" s="339">
        <v>10.82</v>
      </c>
      <c r="D9" s="339">
        <v>12.82</v>
      </c>
      <c r="E9" s="339">
        <v>11.25</v>
      </c>
      <c r="F9" s="339">
        <v>35.04</v>
      </c>
    </row>
    <row r="10" spans="1:6" x14ac:dyDescent="0.2">
      <c r="A10" s="351" t="s">
        <v>346</v>
      </c>
      <c r="B10" s="352">
        <v>10.24</v>
      </c>
      <c r="C10" s="352">
        <v>10.56</v>
      </c>
      <c r="D10" s="352">
        <v>12.44</v>
      </c>
      <c r="E10" s="352">
        <v>11.13</v>
      </c>
      <c r="F10" s="352">
        <v>35.32</v>
      </c>
    </row>
    <row r="11" spans="1:6" x14ac:dyDescent="0.2">
      <c r="A11" s="343" t="s">
        <v>758</v>
      </c>
      <c r="B11" s="339">
        <v>10.53</v>
      </c>
      <c r="C11" s="339">
        <v>10.99</v>
      </c>
      <c r="D11" s="339">
        <v>12.55</v>
      </c>
      <c r="E11" s="339">
        <v>11.17</v>
      </c>
      <c r="F11" s="339">
        <v>35.950000000000003</v>
      </c>
    </row>
    <row r="12" spans="1:6" x14ac:dyDescent="0.2">
      <c r="A12" s="351" t="s">
        <v>348</v>
      </c>
      <c r="B12" s="352">
        <v>10.45</v>
      </c>
      <c r="C12" s="352">
        <v>10.95</v>
      </c>
      <c r="D12" s="352">
        <v>12.47</v>
      </c>
      <c r="E12" s="352">
        <v>11.06</v>
      </c>
      <c r="F12" s="352">
        <v>36.19</v>
      </c>
    </row>
    <row r="13" spans="1:6" x14ac:dyDescent="0.2">
      <c r="A13" s="343" t="s">
        <v>349</v>
      </c>
      <c r="B13" s="339">
        <v>10.24</v>
      </c>
      <c r="C13" s="339">
        <v>10.67</v>
      </c>
      <c r="D13" s="339">
        <v>12.28</v>
      </c>
      <c r="E13" s="339">
        <v>10.82</v>
      </c>
      <c r="F13" s="339">
        <v>36.89</v>
      </c>
    </row>
    <row r="14" spans="1:6" x14ac:dyDescent="0.2">
      <c r="A14" s="351" t="s">
        <v>350</v>
      </c>
      <c r="B14" s="352">
        <v>10.47</v>
      </c>
      <c r="C14" s="352">
        <v>10.79</v>
      </c>
      <c r="D14" s="352">
        <v>12.04</v>
      </c>
      <c r="E14" s="352">
        <v>10.92</v>
      </c>
      <c r="F14" s="352">
        <v>37.229999999999997</v>
      </c>
    </row>
    <row r="16" spans="1:6" x14ac:dyDescent="0.2">
      <c r="A16" s="353" t="s">
        <v>768</v>
      </c>
    </row>
  </sheetData>
  <mergeCells count="3">
    <mergeCell ref="A1:A2"/>
    <mergeCell ref="B1:D1"/>
    <mergeCell ref="E1:E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7"/>
  <sheetViews>
    <sheetView workbookViewId="0">
      <selection activeCell="K14" sqref="K14"/>
    </sheetView>
  </sheetViews>
  <sheetFormatPr baseColWidth="10" defaultColWidth="11.42578125" defaultRowHeight="11.25" x14ac:dyDescent="0.2"/>
  <cols>
    <col min="1" max="16384" width="11.42578125" style="152"/>
  </cols>
  <sheetData>
    <row r="1" spans="1:6" x14ac:dyDescent="0.2">
      <c r="A1" s="547">
        <v>2020</v>
      </c>
      <c r="B1" s="547" t="s">
        <v>747</v>
      </c>
      <c r="C1" s="547"/>
      <c r="D1" s="547"/>
      <c r="E1" s="547" t="s">
        <v>581</v>
      </c>
      <c r="F1" s="301" t="s">
        <v>616</v>
      </c>
    </row>
    <row r="2" spans="1:6" ht="22.5" x14ac:dyDescent="0.2">
      <c r="A2" s="547"/>
      <c r="B2" s="303" t="s">
        <v>760</v>
      </c>
      <c r="C2" s="303" t="s">
        <v>761</v>
      </c>
      <c r="D2" s="303" t="s">
        <v>753</v>
      </c>
      <c r="E2" s="547"/>
      <c r="F2" s="303" t="s">
        <v>765</v>
      </c>
    </row>
    <row r="3" spans="1:6" x14ac:dyDescent="0.2">
      <c r="A3" s="343" t="s">
        <v>339</v>
      </c>
      <c r="B3" s="339">
        <v>12.3</v>
      </c>
      <c r="C3" s="339">
        <v>12.85</v>
      </c>
      <c r="D3" s="339">
        <v>14.07</v>
      </c>
      <c r="E3" s="339">
        <v>12.86</v>
      </c>
      <c r="F3" s="339">
        <v>33.5</v>
      </c>
    </row>
    <row r="4" spans="1:6" x14ac:dyDescent="0.2">
      <c r="A4" s="351" t="s">
        <v>340</v>
      </c>
      <c r="B4" s="352">
        <v>12.3</v>
      </c>
      <c r="C4" s="352">
        <v>12.85</v>
      </c>
      <c r="D4" s="352">
        <v>14.06</v>
      </c>
      <c r="E4" s="352">
        <v>12.81</v>
      </c>
      <c r="F4" s="352">
        <v>33.46</v>
      </c>
    </row>
    <row r="5" spans="1:6" x14ac:dyDescent="0.2">
      <c r="A5" s="343" t="s">
        <v>341</v>
      </c>
      <c r="B5" s="339">
        <v>12.3</v>
      </c>
      <c r="C5" s="339">
        <v>12.85</v>
      </c>
      <c r="D5" s="339">
        <v>14.04</v>
      </c>
      <c r="E5" s="339">
        <v>12.81</v>
      </c>
      <c r="F5" s="339">
        <v>33.46</v>
      </c>
    </row>
    <row r="6" spans="1:6" x14ac:dyDescent="0.2">
      <c r="A6" s="351" t="s">
        <v>342</v>
      </c>
      <c r="B6" s="352">
        <v>12.07</v>
      </c>
      <c r="C6" s="352">
        <v>12.61</v>
      </c>
      <c r="D6" s="352">
        <v>13.66</v>
      </c>
      <c r="E6" s="352">
        <v>12.65</v>
      </c>
      <c r="F6" s="352">
        <v>33.46</v>
      </c>
    </row>
    <row r="7" spans="1:6" x14ac:dyDescent="0.2">
      <c r="A7" s="343" t="s">
        <v>343</v>
      </c>
      <c r="B7" s="339">
        <v>11.95</v>
      </c>
      <c r="C7" s="339">
        <v>12.4</v>
      </c>
      <c r="D7" s="339">
        <v>13.27</v>
      </c>
      <c r="E7" s="339">
        <v>12.34</v>
      </c>
      <c r="F7" s="339">
        <v>33.46</v>
      </c>
    </row>
    <row r="8" spans="1:6" x14ac:dyDescent="0.2">
      <c r="A8" s="351" t="s">
        <v>344</v>
      </c>
      <c r="B8" s="352">
        <v>11.49</v>
      </c>
      <c r="C8" s="352">
        <v>12.01</v>
      </c>
      <c r="D8" s="352">
        <v>12.89</v>
      </c>
      <c r="E8" s="352">
        <v>11.98</v>
      </c>
      <c r="F8" s="352">
        <v>33.46</v>
      </c>
    </row>
    <row r="9" spans="1:6" x14ac:dyDescent="0.2">
      <c r="A9" s="343" t="s">
        <v>345</v>
      </c>
      <c r="B9" s="339">
        <v>11.24</v>
      </c>
      <c r="C9" s="339">
        <v>11.54</v>
      </c>
      <c r="D9" s="339">
        <v>12.44</v>
      </c>
      <c r="E9" s="339">
        <v>11.54</v>
      </c>
      <c r="F9" s="339">
        <v>33.049999999999997</v>
      </c>
    </row>
    <row r="10" spans="1:6" x14ac:dyDescent="0.2">
      <c r="A10" s="351" t="s">
        <v>346</v>
      </c>
      <c r="B10" s="352">
        <v>11.1</v>
      </c>
      <c r="C10" s="352">
        <v>11.42</v>
      </c>
      <c r="D10" s="352">
        <v>12.22</v>
      </c>
      <c r="E10" s="352">
        <v>11.37</v>
      </c>
      <c r="F10" s="352">
        <v>32.450000000000003</v>
      </c>
    </row>
    <row r="11" spans="1:6" x14ac:dyDescent="0.2">
      <c r="A11" s="343" t="s">
        <v>758</v>
      </c>
      <c r="B11" s="339">
        <v>11.1</v>
      </c>
      <c r="C11" s="339">
        <v>11.44</v>
      </c>
      <c r="D11" s="339">
        <v>12.29</v>
      </c>
      <c r="E11" s="339">
        <v>11.36</v>
      </c>
      <c r="F11" s="339">
        <v>32.26</v>
      </c>
    </row>
    <row r="12" spans="1:6" x14ac:dyDescent="0.2">
      <c r="A12" s="351" t="s">
        <v>348</v>
      </c>
      <c r="B12" s="352">
        <v>11.08</v>
      </c>
      <c r="C12" s="352">
        <v>11.38</v>
      </c>
      <c r="D12" s="352">
        <v>12.23</v>
      </c>
      <c r="E12" s="352">
        <v>11.32</v>
      </c>
      <c r="F12" s="352">
        <v>32.65</v>
      </c>
    </row>
    <row r="13" spans="1:6" x14ac:dyDescent="0.2">
      <c r="A13" s="343" t="s">
        <v>349</v>
      </c>
      <c r="B13" s="339">
        <v>11.06</v>
      </c>
      <c r="C13" s="339">
        <v>11.31</v>
      </c>
      <c r="D13" s="339">
        <v>12.12</v>
      </c>
      <c r="E13" s="339">
        <v>11.28</v>
      </c>
      <c r="F13" s="339">
        <v>33.32</v>
      </c>
    </row>
    <row r="14" spans="1:6" x14ac:dyDescent="0.2">
      <c r="A14" s="351" t="s">
        <v>350</v>
      </c>
      <c r="B14" s="352">
        <v>11.07</v>
      </c>
      <c r="C14" s="352">
        <v>11.33</v>
      </c>
      <c r="D14" s="352">
        <v>12.11</v>
      </c>
      <c r="E14" s="352">
        <v>11.34</v>
      </c>
      <c r="F14" s="352">
        <v>34.67</v>
      </c>
    </row>
    <row r="17" spans="1:1" x14ac:dyDescent="0.2">
      <c r="A17" s="353" t="s">
        <v>769</v>
      </c>
    </row>
  </sheetData>
  <mergeCells count="3">
    <mergeCell ref="A1:A2"/>
    <mergeCell ref="B1:D1"/>
    <mergeCell ref="E1:E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6"/>
  <sheetViews>
    <sheetView workbookViewId="0">
      <selection activeCell="K14" sqref="K14"/>
    </sheetView>
  </sheetViews>
  <sheetFormatPr baseColWidth="10" defaultRowHeight="15" x14ac:dyDescent="0.25"/>
  <cols>
    <col min="6" max="6" width="14.28515625" customWidth="1"/>
  </cols>
  <sheetData>
    <row r="1" spans="1:6" ht="18" customHeight="1" x14ac:dyDescent="0.25">
      <c r="A1" s="547">
        <v>2020</v>
      </c>
      <c r="B1" s="547" t="s">
        <v>747</v>
      </c>
      <c r="C1" s="547"/>
      <c r="D1" s="547"/>
      <c r="E1" s="547" t="s">
        <v>581</v>
      </c>
      <c r="F1" s="301" t="s">
        <v>616</v>
      </c>
    </row>
    <row r="2" spans="1:6" ht="27" customHeight="1" x14ac:dyDescent="0.25">
      <c r="A2" s="547"/>
      <c r="B2" s="303" t="s">
        <v>760</v>
      </c>
      <c r="C2" s="303" t="s">
        <v>761</v>
      </c>
      <c r="D2" s="303" t="s">
        <v>753</v>
      </c>
      <c r="E2" s="547"/>
      <c r="F2" s="303" t="s">
        <v>765</v>
      </c>
    </row>
    <row r="3" spans="1:6" ht="12" customHeight="1" x14ac:dyDescent="0.25">
      <c r="A3" s="343" t="s">
        <v>339</v>
      </c>
      <c r="B3" s="339">
        <v>12.12</v>
      </c>
      <c r="C3" s="339">
        <v>12.63</v>
      </c>
      <c r="D3" s="339">
        <v>13.65</v>
      </c>
      <c r="E3" s="339">
        <v>12.73</v>
      </c>
      <c r="F3" s="339">
        <v>37.42</v>
      </c>
    </row>
    <row r="4" spans="1:6" ht="12" customHeight="1" x14ac:dyDescent="0.25">
      <c r="A4" s="351" t="s">
        <v>340</v>
      </c>
      <c r="B4" s="352">
        <v>12.03</v>
      </c>
      <c r="C4" s="352">
        <v>12.51</v>
      </c>
      <c r="D4" s="352">
        <v>13.41</v>
      </c>
      <c r="E4" s="352">
        <v>12.66</v>
      </c>
      <c r="F4" s="352">
        <v>36.869999999999997</v>
      </c>
    </row>
    <row r="5" spans="1:6" ht="12" customHeight="1" x14ac:dyDescent="0.25">
      <c r="A5" s="343" t="s">
        <v>341</v>
      </c>
      <c r="B5" s="339">
        <v>11.98</v>
      </c>
      <c r="C5" s="339">
        <v>12.46</v>
      </c>
      <c r="D5" s="339">
        <v>13.29</v>
      </c>
      <c r="E5" s="339">
        <v>12.64</v>
      </c>
      <c r="F5" s="339">
        <v>36.51</v>
      </c>
    </row>
    <row r="6" spans="1:6" ht="12" customHeight="1" x14ac:dyDescent="0.25">
      <c r="A6" s="351" t="s">
        <v>342</v>
      </c>
      <c r="B6" s="352">
        <v>11.44</v>
      </c>
      <c r="C6" s="352">
        <v>11.85</v>
      </c>
      <c r="D6" s="352">
        <v>12.46</v>
      </c>
      <c r="E6" s="352">
        <v>12.47</v>
      </c>
      <c r="F6" s="352">
        <v>36.51</v>
      </c>
    </row>
    <row r="7" spans="1:6" ht="12" customHeight="1" x14ac:dyDescent="0.25">
      <c r="A7" s="343" t="s">
        <v>343</v>
      </c>
      <c r="B7" s="339">
        <v>11.13</v>
      </c>
      <c r="C7" s="339">
        <v>11.48</v>
      </c>
      <c r="D7" s="339">
        <v>12.24</v>
      </c>
      <c r="E7" s="339">
        <v>11.71</v>
      </c>
      <c r="F7" s="339">
        <v>36.51</v>
      </c>
    </row>
    <row r="8" spans="1:6" ht="12" customHeight="1" x14ac:dyDescent="0.25">
      <c r="A8" s="351" t="s">
        <v>344</v>
      </c>
      <c r="B8" s="352">
        <v>10.7</v>
      </c>
      <c r="C8" s="352">
        <v>11.02</v>
      </c>
      <c r="D8" s="352">
        <v>11.82</v>
      </c>
      <c r="E8" s="352">
        <v>10.89</v>
      </c>
      <c r="F8" s="352">
        <v>36.51</v>
      </c>
    </row>
    <row r="9" spans="1:6" ht="12" customHeight="1" x14ac:dyDescent="0.25">
      <c r="A9" s="343" t="s">
        <v>345</v>
      </c>
      <c r="B9" s="339">
        <v>10.27</v>
      </c>
      <c r="C9" s="339">
        <v>10.47</v>
      </c>
      <c r="D9" s="339">
        <v>11.12</v>
      </c>
      <c r="E9" s="339">
        <v>10.47</v>
      </c>
      <c r="F9" s="339">
        <v>36.51</v>
      </c>
    </row>
    <row r="10" spans="1:6" ht="12" customHeight="1" x14ac:dyDescent="0.25">
      <c r="A10" s="351" t="s">
        <v>346</v>
      </c>
      <c r="B10" s="352">
        <v>10.26</v>
      </c>
      <c r="C10" s="352">
        <v>10.48</v>
      </c>
      <c r="D10" s="352">
        <v>11.08</v>
      </c>
      <c r="E10" s="352">
        <v>10.59</v>
      </c>
      <c r="F10" s="352">
        <v>36.630000000000003</v>
      </c>
    </row>
    <row r="11" spans="1:6" ht="12" customHeight="1" x14ac:dyDescent="0.25">
      <c r="A11" s="343" t="s">
        <v>758</v>
      </c>
      <c r="B11" s="339">
        <v>10.96</v>
      </c>
      <c r="C11" s="339">
        <v>11.15</v>
      </c>
      <c r="D11" s="339">
        <v>11.82</v>
      </c>
      <c r="E11" s="339">
        <v>10.82</v>
      </c>
      <c r="F11" s="339">
        <v>36.630000000000003</v>
      </c>
    </row>
    <row r="12" spans="1:6" ht="12" customHeight="1" x14ac:dyDescent="0.25">
      <c r="A12" s="351" t="s">
        <v>348</v>
      </c>
      <c r="B12" s="352">
        <v>10.85</v>
      </c>
      <c r="C12" s="352">
        <v>11.04</v>
      </c>
      <c r="D12" s="352">
        <v>11.74</v>
      </c>
      <c r="E12" s="352">
        <v>10.7</v>
      </c>
      <c r="F12" s="352">
        <v>36.81</v>
      </c>
    </row>
    <row r="13" spans="1:6" ht="12" customHeight="1" x14ac:dyDescent="0.25">
      <c r="A13" s="343" t="s">
        <v>349</v>
      </c>
      <c r="B13" s="339">
        <v>10.87</v>
      </c>
      <c r="C13" s="339">
        <v>11.03</v>
      </c>
      <c r="D13" s="339">
        <v>11.78</v>
      </c>
      <c r="E13" s="339">
        <v>10.72</v>
      </c>
      <c r="F13" s="339">
        <v>36.770000000000003</v>
      </c>
    </row>
    <row r="14" spans="1:6" ht="12" customHeight="1" x14ac:dyDescent="0.25">
      <c r="A14" s="351" t="s">
        <v>350</v>
      </c>
      <c r="B14" s="352">
        <v>10.8</v>
      </c>
      <c r="C14" s="352">
        <v>11.03</v>
      </c>
      <c r="D14" s="352">
        <v>11.72</v>
      </c>
      <c r="E14" s="352">
        <v>11.1</v>
      </c>
      <c r="F14" s="352">
        <v>37.549999999999997</v>
      </c>
    </row>
    <row r="16" spans="1:6" x14ac:dyDescent="0.25">
      <c r="A16" s="356" t="s">
        <v>770</v>
      </c>
    </row>
  </sheetData>
  <mergeCells count="3">
    <mergeCell ref="A1:A2"/>
    <mergeCell ref="B1:D1"/>
    <mergeCell ref="E1:E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7"/>
  <sheetViews>
    <sheetView workbookViewId="0">
      <selection activeCell="K14" sqref="K14"/>
    </sheetView>
  </sheetViews>
  <sheetFormatPr baseColWidth="10" defaultRowHeight="15" x14ac:dyDescent="0.25"/>
  <cols>
    <col min="6" max="6" width="13.28515625" customWidth="1"/>
  </cols>
  <sheetData>
    <row r="1" spans="1:6" ht="14.25" customHeight="1" x14ac:dyDescent="0.25">
      <c r="A1" s="547">
        <v>2020</v>
      </c>
      <c r="B1" s="547" t="s">
        <v>747</v>
      </c>
      <c r="C1" s="547"/>
      <c r="D1" s="547"/>
      <c r="E1" s="547" t="s">
        <v>581</v>
      </c>
      <c r="F1" s="301" t="s">
        <v>616</v>
      </c>
    </row>
    <row r="2" spans="1:6" ht="14.25" customHeight="1" x14ac:dyDescent="0.25">
      <c r="A2" s="547"/>
      <c r="B2" s="303" t="s">
        <v>760</v>
      </c>
      <c r="C2" s="303" t="s">
        <v>761</v>
      </c>
      <c r="D2" s="303" t="s">
        <v>753</v>
      </c>
      <c r="E2" s="547"/>
      <c r="F2" s="303" t="s">
        <v>765</v>
      </c>
    </row>
    <row r="3" spans="1:6" ht="14.25" customHeight="1" x14ac:dyDescent="0.25">
      <c r="A3" s="343" t="s">
        <v>339</v>
      </c>
      <c r="B3" s="339">
        <v>13.16</v>
      </c>
      <c r="C3" s="339">
        <v>13.76</v>
      </c>
      <c r="D3" s="339">
        <v>14.84</v>
      </c>
      <c r="E3" s="339">
        <v>12.6</v>
      </c>
      <c r="F3" s="339">
        <v>39.71</v>
      </c>
    </row>
    <row r="4" spans="1:6" ht="14.25" customHeight="1" x14ac:dyDescent="0.25">
      <c r="A4" s="351" t="s">
        <v>340</v>
      </c>
      <c r="B4" s="352">
        <v>13.1</v>
      </c>
      <c r="C4" s="352">
        <v>13.7</v>
      </c>
      <c r="D4" s="352">
        <v>14.8</v>
      </c>
      <c r="E4" s="352">
        <v>12.59</v>
      </c>
      <c r="F4" s="352">
        <v>39.71</v>
      </c>
    </row>
    <row r="5" spans="1:6" ht="14.25" customHeight="1" x14ac:dyDescent="0.25">
      <c r="A5" s="343" t="s">
        <v>341</v>
      </c>
      <c r="B5" s="339">
        <v>12.98</v>
      </c>
      <c r="C5" s="339">
        <v>13.44</v>
      </c>
      <c r="D5" s="339">
        <v>14.6</v>
      </c>
      <c r="E5" s="339">
        <v>12.59</v>
      </c>
      <c r="F5" s="339">
        <v>39.71</v>
      </c>
    </row>
    <row r="6" spans="1:6" ht="14.25" customHeight="1" x14ac:dyDescent="0.25">
      <c r="A6" s="351" t="s">
        <v>342</v>
      </c>
      <c r="B6" s="352">
        <v>12.67</v>
      </c>
      <c r="C6" s="352">
        <v>13.08</v>
      </c>
      <c r="D6" s="352">
        <v>14.16</v>
      </c>
      <c r="E6" s="352">
        <v>12.45</v>
      </c>
      <c r="F6" s="352">
        <v>39.71</v>
      </c>
    </row>
    <row r="7" spans="1:6" ht="14.25" customHeight="1" x14ac:dyDescent="0.25">
      <c r="A7" s="343" t="s">
        <v>343</v>
      </c>
      <c r="B7" s="339">
        <v>12.65</v>
      </c>
      <c r="C7" s="339">
        <v>13.05</v>
      </c>
      <c r="D7" s="339">
        <v>14.17</v>
      </c>
      <c r="E7" s="339">
        <v>12.32</v>
      </c>
      <c r="F7" s="339">
        <v>38.340000000000003</v>
      </c>
    </row>
    <row r="8" spans="1:6" ht="14.25" customHeight="1" x14ac:dyDescent="0.25">
      <c r="A8" s="351" t="s">
        <v>344</v>
      </c>
      <c r="B8" s="352">
        <v>12.64</v>
      </c>
      <c r="C8" s="352">
        <v>13.05</v>
      </c>
      <c r="D8" s="352">
        <v>14.03</v>
      </c>
      <c r="E8" s="352">
        <v>11.84</v>
      </c>
      <c r="F8" s="352">
        <v>37.520000000000003</v>
      </c>
    </row>
    <row r="9" spans="1:6" ht="14.25" customHeight="1" x14ac:dyDescent="0.25">
      <c r="A9" s="343" t="s">
        <v>345</v>
      </c>
      <c r="B9" s="339">
        <v>11.81</v>
      </c>
      <c r="C9" s="339">
        <v>12.41</v>
      </c>
      <c r="D9" s="339">
        <v>13.24</v>
      </c>
      <c r="E9" s="339">
        <v>11.23</v>
      </c>
      <c r="F9" s="339">
        <v>38.4</v>
      </c>
    </row>
    <row r="10" spans="1:6" ht="14.25" customHeight="1" x14ac:dyDescent="0.25">
      <c r="A10" s="351" t="s">
        <v>346</v>
      </c>
      <c r="B10" s="352">
        <v>11.67</v>
      </c>
      <c r="C10" s="352">
        <v>12.19</v>
      </c>
      <c r="D10" s="352">
        <v>13.01</v>
      </c>
      <c r="E10" s="352">
        <v>11.02</v>
      </c>
      <c r="F10" s="352">
        <v>38.4</v>
      </c>
    </row>
    <row r="11" spans="1:6" ht="14.25" customHeight="1" x14ac:dyDescent="0.25">
      <c r="A11" s="343" t="s">
        <v>758</v>
      </c>
      <c r="B11" s="339">
        <v>11.7</v>
      </c>
      <c r="C11" s="339">
        <v>12.22</v>
      </c>
      <c r="D11" s="339">
        <v>13.16</v>
      </c>
      <c r="E11" s="339">
        <v>10.97</v>
      </c>
      <c r="F11" s="339">
        <v>39.39</v>
      </c>
    </row>
    <row r="12" spans="1:6" ht="14.25" customHeight="1" x14ac:dyDescent="0.25">
      <c r="A12" s="351" t="s">
        <v>348</v>
      </c>
      <c r="B12" s="352">
        <v>11.63</v>
      </c>
      <c r="C12" s="352">
        <v>12.19</v>
      </c>
      <c r="D12" s="352">
        <v>13.06</v>
      </c>
      <c r="E12" s="352">
        <v>11.02</v>
      </c>
      <c r="F12" s="352">
        <v>39.32</v>
      </c>
    </row>
    <row r="13" spans="1:6" ht="14.25" customHeight="1" x14ac:dyDescent="0.25">
      <c r="A13" s="343" t="s">
        <v>349</v>
      </c>
      <c r="B13" s="339">
        <v>11.65</v>
      </c>
      <c r="C13" s="339">
        <v>12.12</v>
      </c>
      <c r="D13" s="339">
        <v>13.09</v>
      </c>
      <c r="E13" s="339">
        <v>10.95</v>
      </c>
      <c r="F13" s="339">
        <v>39.520000000000003</v>
      </c>
    </row>
    <row r="14" spans="1:6" ht="14.25" customHeight="1" x14ac:dyDescent="0.25">
      <c r="A14" s="351" t="s">
        <v>350</v>
      </c>
      <c r="B14" s="352">
        <v>11.64</v>
      </c>
      <c r="C14" s="352">
        <v>12.12</v>
      </c>
      <c r="D14" s="352">
        <v>13.1</v>
      </c>
      <c r="E14" s="352">
        <v>11.04</v>
      </c>
      <c r="F14" s="352">
        <v>39.729999999999997</v>
      </c>
    </row>
    <row r="17" spans="1:1" x14ac:dyDescent="0.25">
      <c r="A17" s="356" t="s">
        <v>771</v>
      </c>
    </row>
  </sheetData>
  <mergeCells count="3">
    <mergeCell ref="A1:A2"/>
    <mergeCell ref="B1:D1"/>
    <mergeCell ref="E1:E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7"/>
  <sheetViews>
    <sheetView workbookViewId="0">
      <selection activeCell="K14" sqref="K14"/>
    </sheetView>
  </sheetViews>
  <sheetFormatPr baseColWidth="10" defaultColWidth="11.42578125" defaultRowHeight="11.25" x14ac:dyDescent="0.2"/>
  <cols>
    <col min="1" max="16384" width="11.42578125" style="152"/>
  </cols>
  <sheetData>
    <row r="1" spans="1:6" x14ac:dyDescent="0.2">
      <c r="A1" s="547">
        <v>2020</v>
      </c>
      <c r="B1" s="547" t="s">
        <v>747</v>
      </c>
      <c r="C1" s="547"/>
      <c r="D1" s="547"/>
      <c r="E1" s="547" t="s">
        <v>581</v>
      </c>
      <c r="F1" s="301" t="s">
        <v>616</v>
      </c>
    </row>
    <row r="2" spans="1:6" ht="22.5" x14ac:dyDescent="0.2">
      <c r="A2" s="547"/>
      <c r="B2" s="303" t="s">
        <v>760</v>
      </c>
      <c r="C2" s="303" t="s">
        <v>761</v>
      </c>
      <c r="D2" s="303" t="s">
        <v>753</v>
      </c>
      <c r="E2" s="547"/>
      <c r="F2" s="303" t="s">
        <v>765</v>
      </c>
    </row>
    <row r="3" spans="1:6" x14ac:dyDescent="0.2">
      <c r="A3" s="343" t="s">
        <v>339</v>
      </c>
      <c r="B3" s="339">
        <v>13.36</v>
      </c>
      <c r="C3" s="339">
        <v>14.18</v>
      </c>
      <c r="D3" s="339">
        <v>15.89</v>
      </c>
      <c r="E3" s="339">
        <v>13.38</v>
      </c>
      <c r="F3" s="339">
        <v>38.42</v>
      </c>
    </row>
    <row r="4" spans="1:6" x14ac:dyDescent="0.2">
      <c r="A4" s="351" t="s">
        <v>340</v>
      </c>
      <c r="B4" s="352">
        <v>13.31</v>
      </c>
      <c r="C4" s="352">
        <v>14.07</v>
      </c>
      <c r="D4" s="352">
        <v>15.75</v>
      </c>
      <c r="E4" s="352">
        <v>13.39</v>
      </c>
      <c r="F4" s="352">
        <v>38.35</v>
      </c>
    </row>
    <row r="5" spans="1:6" x14ac:dyDescent="0.2">
      <c r="A5" s="343" t="s">
        <v>341</v>
      </c>
      <c r="B5" s="339">
        <v>13.31</v>
      </c>
      <c r="C5" s="339">
        <v>14.07</v>
      </c>
      <c r="D5" s="339">
        <v>15.75</v>
      </c>
      <c r="E5" s="339">
        <v>13.39</v>
      </c>
      <c r="F5" s="339">
        <v>38.35</v>
      </c>
    </row>
    <row r="6" spans="1:6" x14ac:dyDescent="0.2">
      <c r="A6" s="351" t="s">
        <v>342</v>
      </c>
      <c r="B6" s="352">
        <v>13.17</v>
      </c>
      <c r="C6" s="352">
        <v>13.87</v>
      </c>
      <c r="D6" s="352">
        <v>15.49</v>
      </c>
      <c r="E6" s="352">
        <v>13.33</v>
      </c>
      <c r="F6" s="352">
        <v>38</v>
      </c>
    </row>
    <row r="7" spans="1:6" x14ac:dyDescent="0.2">
      <c r="A7" s="343" t="s">
        <v>343</v>
      </c>
      <c r="B7" s="339">
        <v>12.87</v>
      </c>
      <c r="C7" s="339">
        <v>13.57</v>
      </c>
      <c r="D7" s="339">
        <v>15.09</v>
      </c>
      <c r="E7" s="339">
        <v>13.07</v>
      </c>
      <c r="F7" s="339">
        <v>36.35</v>
      </c>
    </row>
    <row r="8" spans="1:6" x14ac:dyDescent="0.2">
      <c r="A8" s="351" t="s">
        <v>344</v>
      </c>
      <c r="B8" s="352">
        <v>12.72</v>
      </c>
      <c r="C8" s="352">
        <v>13.4</v>
      </c>
      <c r="D8" s="352">
        <v>14.96</v>
      </c>
      <c r="E8" s="352">
        <v>12.47</v>
      </c>
      <c r="F8" s="352">
        <v>36.51</v>
      </c>
    </row>
    <row r="9" spans="1:6" x14ac:dyDescent="0.2">
      <c r="A9" s="343" t="s">
        <v>345</v>
      </c>
      <c r="B9" s="339">
        <v>12.39</v>
      </c>
      <c r="C9" s="339">
        <v>13.07</v>
      </c>
      <c r="D9" s="339">
        <v>14.39</v>
      </c>
      <c r="E9" s="339">
        <v>11.96</v>
      </c>
      <c r="F9" s="339">
        <v>36.770000000000003</v>
      </c>
    </row>
    <row r="10" spans="1:6" x14ac:dyDescent="0.2">
      <c r="A10" s="351" t="s">
        <v>346</v>
      </c>
      <c r="B10" s="352">
        <v>12.32</v>
      </c>
      <c r="C10" s="352">
        <v>12.92</v>
      </c>
      <c r="D10" s="352">
        <v>14.39</v>
      </c>
      <c r="E10" s="352">
        <v>12.05</v>
      </c>
      <c r="F10" s="352">
        <v>37.25</v>
      </c>
    </row>
    <row r="11" spans="1:6" x14ac:dyDescent="0.2">
      <c r="A11" s="343" t="s">
        <v>758</v>
      </c>
      <c r="B11" s="339">
        <v>12.42</v>
      </c>
      <c r="C11" s="339">
        <v>13.04</v>
      </c>
      <c r="D11" s="339">
        <v>14.56</v>
      </c>
      <c r="E11" s="339">
        <v>12.12</v>
      </c>
      <c r="F11" s="339">
        <v>37.619999999999997</v>
      </c>
    </row>
    <row r="12" spans="1:6" x14ac:dyDescent="0.2">
      <c r="A12" s="351" t="s">
        <v>348</v>
      </c>
      <c r="B12" s="352">
        <v>12.47</v>
      </c>
      <c r="C12" s="352">
        <v>13.1</v>
      </c>
      <c r="D12" s="352">
        <v>14.71</v>
      </c>
      <c r="E12" s="352">
        <v>12.13</v>
      </c>
      <c r="F12" s="352">
        <v>37.83</v>
      </c>
    </row>
    <row r="13" spans="1:6" x14ac:dyDescent="0.2">
      <c r="A13" s="343" t="s">
        <v>349</v>
      </c>
      <c r="B13" s="339">
        <v>12.4</v>
      </c>
      <c r="C13" s="339">
        <v>12.98</v>
      </c>
      <c r="D13" s="339">
        <v>14.59</v>
      </c>
      <c r="E13" s="339">
        <v>12.05</v>
      </c>
      <c r="F13" s="339">
        <v>38.25</v>
      </c>
    </row>
    <row r="14" spans="1:6" x14ac:dyDescent="0.2">
      <c r="A14" s="351" t="s">
        <v>350</v>
      </c>
      <c r="B14" s="352">
        <v>12.41</v>
      </c>
      <c r="C14" s="352">
        <v>13.03</v>
      </c>
      <c r="D14" s="352">
        <v>14.59</v>
      </c>
      <c r="E14" s="352">
        <v>12.16</v>
      </c>
      <c r="F14" s="352">
        <v>39.049999999999997</v>
      </c>
    </row>
    <row r="17" spans="1:1" x14ac:dyDescent="0.2">
      <c r="A17" s="353" t="s">
        <v>772</v>
      </c>
    </row>
  </sheetData>
  <mergeCells count="3">
    <mergeCell ref="A1:A2"/>
    <mergeCell ref="B1:D1"/>
    <mergeCell ref="E1:E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16"/>
  <sheetViews>
    <sheetView workbookViewId="0">
      <selection activeCell="K14" sqref="K14"/>
    </sheetView>
  </sheetViews>
  <sheetFormatPr baseColWidth="10" defaultColWidth="11.42578125" defaultRowHeight="11.25" x14ac:dyDescent="0.2"/>
  <cols>
    <col min="1" max="16384" width="11.42578125" style="152"/>
  </cols>
  <sheetData>
    <row r="1" spans="1:5" x14ac:dyDescent="0.2">
      <c r="A1" s="547">
        <v>2020</v>
      </c>
      <c r="B1" s="547" t="s">
        <v>747</v>
      </c>
      <c r="C1" s="547"/>
      <c r="D1" s="547" t="s">
        <v>581</v>
      </c>
      <c r="E1" s="301" t="s">
        <v>616</v>
      </c>
    </row>
    <row r="2" spans="1:5" ht="22.5" x14ac:dyDescent="0.2">
      <c r="A2" s="547"/>
      <c r="B2" s="303" t="s">
        <v>760</v>
      </c>
      <c r="C2" s="303" t="s">
        <v>752</v>
      </c>
      <c r="D2" s="547"/>
      <c r="E2" s="303" t="s">
        <v>765</v>
      </c>
    </row>
    <row r="3" spans="1:5" x14ac:dyDescent="0.2">
      <c r="A3" s="343" t="s">
        <v>339</v>
      </c>
      <c r="B3" s="339">
        <v>13.45</v>
      </c>
      <c r="C3" s="339">
        <v>14.63</v>
      </c>
      <c r="D3" s="339">
        <v>12.97</v>
      </c>
      <c r="E3" s="339">
        <v>37.57</v>
      </c>
    </row>
    <row r="4" spans="1:5" x14ac:dyDescent="0.2">
      <c r="A4" s="351" t="s">
        <v>340</v>
      </c>
      <c r="B4" s="352">
        <v>13.45</v>
      </c>
      <c r="C4" s="352">
        <v>14.63</v>
      </c>
      <c r="D4" s="352">
        <v>12.99</v>
      </c>
      <c r="E4" s="352">
        <v>37.49</v>
      </c>
    </row>
    <row r="5" spans="1:5" x14ac:dyDescent="0.2">
      <c r="A5" s="343" t="s">
        <v>341</v>
      </c>
      <c r="B5" s="339">
        <v>13.35</v>
      </c>
      <c r="C5" s="339">
        <v>14.52</v>
      </c>
      <c r="D5" s="339">
        <v>12.88</v>
      </c>
      <c r="E5" s="339">
        <v>37.49</v>
      </c>
    </row>
    <row r="6" spans="1:5" x14ac:dyDescent="0.2">
      <c r="A6" s="351" t="s">
        <v>342</v>
      </c>
      <c r="B6" s="352">
        <v>13.31</v>
      </c>
      <c r="C6" s="352">
        <v>14.39</v>
      </c>
      <c r="D6" s="352">
        <v>12.8</v>
      </c>
      <c r="E6" s="352">
        <v>37.49</v>
      </c>
    </row>
    <row r="7" spans="1:5" x14ac:dyDescent="0.2">
      <c r="A7" s="343" t="s">
        <v>343</v>
      </c>
      <c r="B7" s="339">
        <v>12.91</v>
      </c>
      <c r="C7" s="339">
        <v>13.95</v>
      </c>
      <c r="D7" s="339">
        <v>12.69</v>
      </c>
      <c r="E7" s="339">
        <v>35.5</v>
      </c>
    </row>
    <row r="8" spans="1:5" x14ac:dyDescent="0.2">
      <c r="A8" s="351" t="s">
        <v>344</v>
      </c>
      <c r="B8" s="352">
        <v>11.89</v>
      </c>
      <c r="C8" s="352">
        <v>12.8</v>
      </c>
      <c r="D8" s="352">
        <v>11.55</v>
      </c>
      <c r="E8" s="352">
        <v>33.46</v>
      </c>
    </row>
    <row r="9" spans="1:5" x14ac:dyDescent="0.2">
      <c r="A9" s="343" t="s">
        <v>345</v>
      </c>
      <c r="B9" s="339">
        <v>11.13</v>
      </c>
      <c r="C9" s="339">
        <v>12.01</v>
      </c>
      <c r="D9" s="339">
        <v>10.92</v>
      </c>
      <c r="E9" s="339">
        <v>32.79</v>
      </c>
    </row>
    <row r="10" spans="1:5" x14ac:dyDescent="0.2">
      <c r="A10" s="351" t="s">
        <v>346</v>
      </c>
      <c r="B10" s="352">
        <v>11.12</v>
      </c>
      <c r="C10" s="352">
        <v>11.91</v>
      </c>
      <c r="D10" s="352">
        <v>10.93</v>
      </c>
      <c r="E10" s="352">
        <v>32.79</v>
      </c>
    </row>
    <row r="11" spans="1:5" x14ac:dyDescent="0.2">
      <c r="A11" s="343" t="s">
        <v>758</v>
      </c>
      <c r="B11" s="339">
        <v>11.43</v>
      </c>
      <c r="C11" s="339">
        <v>12.19</v>
      </c>
      <c r="D11" s="339">
        <v>11.08</v>
      </c>
      <c r="E11" s="339">
        <v>33.64</v>
      </c>
    </row>
    <row r="12" spans="1:5" x14ac:dyDescent="0.2">
      <c r="A12" s="351" t="s">
        <v>348</v>
      </c>
      <c r="B12" s="352">
        <v>11.47</v>
      </c>
      <c r="C12" s="352">
        <v>12.21</v>
      </c>
      <c r="D12" s="352">
        <v>11.13</v>
      </c>
      <c r="E12" s="352">
        <v>33.64</v>
      </c>
    </row>
    <row r="13" spans="1:5" x14ac:dyDescent="0.2">
      <c r="A13" s="343" t="s">
        <v>349</v>
      </c>
      <c r="B13" s="339">
        <v>11.47</v>
      </c>
      <c r="C13" s="339">
        <v>12.21</v>
      </c>
      <c r="D13" s="339">
        <v>11.13</v>
      </c>
      <c r="E13" s="339">
        <v>33.64</v>
      </c>
    </row>
    <row r="14" spans="1:5" x14ac:dyDescent="0.2">
      <c r="A14" s="351" t="s">
        <v>350</v>
      </c>
      <c r="B14" s="352">
        <v>11.33</v>
      </c>
      <c r="C14" s="352">
        <v>12.21</v>
      </c>
      <c r="D14" s="352">
        <v>11.14</v>
      </c>
      <c r="E14" s="352">
        <v>36.4</v>
      </c>
    </row>
    <row r="16" spans="1:5" x14ac:dyDescent="0.2">
      <c r="A16" s="353" t="s">
        <v>773</v>
      </c>
    </row>
  </sheetData>
  <mergeCells count="3">
    <mergeCell ref="A1:A2"/>
    <mergeCell ref="B1:C1"/>
    <mergeCell ref="D1:D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7"/>
  <sheetViews>
    <sheetView workbookViewId="0">
      <selection activeCell="K14" sqref="K14"/>
    </sheetView>
  </sheetViews>
  <sheetFormatPr baseColWidth="10" defaultColWidth="11.42578125" defaultRowHeight="11.25" x14ac:dyDescent="0.2"/>
  <cols>
    <col min="1" max="16384" width="11.42578125" style="152"/>
  </cols>
  <sheetData>
    <row r="1" spans="1:6" x14ac:dyDescent="0.2">
      <c r="A1" s="547">
        <v>2020</v>
      </c>
      <c r="B1" s="547" t="s">
        <v>747</v>
      </c>
      <c r="C1" s="547"/>
      <c r="D1" s="547"/>
      <c r="E1" s="547" t="s">
        <v>581</v>
      </c>
      <c r="F1" s="301" t="s">
        <v>616</v>
      </c>
    </row>
    <row r="2" spans="1:6" ht="22.5" x14ac:dyDescent="0.2">
      <c r="A2" s="547"/>
      <c r="B2" s="303" t="s">
        <v>760</v>
      </c>
      <c r="C2" s="303" t="s">
        <v>761</v>
      </c>
      <c r="D2" s="303" t="s">
        <v>753</v>
      </c>
      <c r="E2" s="547"/>
      <c r="F2" s="303" t="s">
        <v>765</v>
      </c>
    </row>
    <row r="3" spans="1:6" x14ac:dyDescent="0.2">
      <c r="A3" s="343" t="s">
        <v>339</v>
      </c>
      <c r="B3" s="339">
        <v>13.18</v>
      </c>
      <c r="C3" s="339">
        <v>13.31</v>
      </c>
      <c r="D3" s="152">
        <v>13.83</v>
      </c>
      <c r="E3" s="339">
        <v>12.48</v>
      </c>
      <c r="F3" s="339">
        <v>36.22</v>
      </c>
    </row>
    <row r="4" spans="1:6" x14ac:dyDescent="0.2">
      <c r="A4" s="351" t="s">
        <v>340</v>
      </c>
      <c r="B4" s="352">
        <v>13.14</v>
      </c>
      <c r="C4" s="352">
        <v>13.26</v>
      </c>
      <c r="D4" s="152">
        <v>13.7</v>
      </c>
      <c r="E4" s="352">
        <v>12.54</v>
      </c>
      <c r="F4" s="352">
        <v>35.69</v>
      </c>
    </row>
    <row r="5" spans="1:6" x14ac:dyDescent="0.2">
      <c r="A5" s="343" t="s">
        <v>341</v>
      </c>
      <c r="B5" s="339">
        <v>13.11</v>
      </c>
      <c r="C5" s="339">
        <v>13.24</v>
      </c>
      <c r="D5" s="152">
        <v>13.62</v>
      </c>
      <c r="E5" s="339">
        <v>12.43</v>
      </c>
      <c r="F5" s="339">
        <v>35.69</v>
      </c>
    </row>
    <row r="6" spans="1:6" x14ac:dyDescent="0.2">
      <c r="A6" s="351" t="s">
        <v>342</v>
      </c>
      <c r="B6" s="352">
        <v>13.02</v>
      </c>
      <c r="C6" s="352">
        <v>13.08</v>
      </c>
      <c r="D6" s="152">
        <v>13.44</v>
      </c>
      <c r="E6" s="352">
        <v>12.36</v>
      </c>
      <c r="F6" s="352">
        <v>35.69</v>
      </c>
    </row>
    <row r="7" spans="1:6" x14ac:dyDescent="0.2">
      <c r="A7" s="343" t="s">
        <v>343</v>
      </c>
      <c r="B7" s="339">
        <v>12.87</v>
      </c>
      <c r="C7" s="339">
        <v>12.85</v>
      </c>
      <c r="D7" s="152">
        <v>13.35</v>
      </c>
      <c r="E7" s="339">
        <v>11.79</v>
      </c>
      <c r="F7" s="339">
        <v>34.89</v>
      </c>
    </row>
    <row r="8" spans="1:6" x14ac:dyDescent="0.2">
      <c r="A8" s="351" t="s">
        <v>344</v>
      </c>
      <c r="B8" s="352">
        <v>12.62</v>
      </c>
      <c r="C8" s="352">
        <v>12.56</v>
      </c>
      <c r="D8" s="152">
        <v>13.01</v>
      </c>
      <c r="E8" s="352">
        <v>11.18</v>
      </c>
      <c r="F8" s="352">
        <v>34.380000000000003</v>
      </c>
    </row>
    <row r="9" spans="1:6" x14ac:dyDescent="0.2">
      <c r="A9" s="343" t="s">
        <v>345</v>
      </c>
      <c r="B9" s="339">
        <v>12.01</v>
      </c>
      <c r="C9" s="339">
        <v>12.06</v>
      </c>
      <c r="D9" s="152">
        <v>12.57</v>
      </c>
      <c r="E9" s="339">
        <v>10.77</v>
      </c>
      <c r="F9" s="339">
        <v>34.380000000000003</v>
      </c>
    </row>
    <row r="10" spans="1:6" x14ac:dyDescent="0.2">
      <c r="A10" s="351" t="s">
        <v>346</v>
      </c>
      <c r="B10" s="352">
        <v>11.88</v>
      </c>
      <c r="C10" s="352">
        <v>12</v>
      </c>
      <c r="D10" s="152">
        <v>12.4</v>
      </c>
      <c r="E10" s="352">
        <v>10.82</v>
      </c>
      <c r="F10" s="352">
        <v>34.22</v>
      </c>
    </row>
    <row r="11" spans="1:6" x14ac:dyDescent="0.2">
      <c r="A11" s="343" t="s">
        <v>758</v>
      </c>
      <c r="B11" s="339">
        <v>12.62</v>
      </c>
      <c r="C11" s="339">
        <v>12.81</v>
      </c>
      <c r="D11" s="152">
        <v>13.12</v>
      </c>
      <c r="E11" s="339">
        <v>10.95</v>
      </c>
      <c r="F11" s="339">
        <v>34.22</v>
      </c>
    </row>
    <row r="12" spans="1:6" x14ac:dyDescent="0.2">
      <c r="A12" s="351" t="s">
        <v>348</v>
      </c>
      <c r="B12" s="352">
        <v>12.39</v>
      </c>
      <c r="C12" s="352">
        <v>12.44</v>
      </c>
      <c r="D12" s="152">
        <v>13.02</v>
      </c>
      <c r="E12" s="352">
        <v>10.86</v>
      </c>
      <c r="F12" s="352">
        <v>34.979999999999997</v>
      </c>
    </row>
    <row r="13" spans="1:6" x14ac:dyDescent="0.2">
      <c r="A13" s="343" t="s">
        <v>349</v>
      </c>
      <c r="B13" s="339">
        <v>12.25</v>
      </c>
      <c r="C13" s="339">
        <v>12.32</v>
      </c>
      <c r="D13" s="152">
        <v>12.89</v>
      </c>
      <c r="E13" s="339">
        <v>10.8</v>
      </c>
      <c r="F13" s="339">
        <v>34.979999999999997</v>
      </c>
    </row>
    <row r="14" spans="1:6" x14ac:dyDescent="0.2">
      <c r="A14" s="351" t="s">
        <v>350</v>
      </c>
      <c r="B14" s="352">
        <v>12.35</v>
      </c>
      <c r="C14" s="352">
        <v>12.44</v>
      </c>
      <c r="D14" s="152">
        <v>12.96</v>
      </c>
      <c r="E14" s="352">
        <v>11.14</v>
      </c>
      <c r="F14" s="352">
        <v>35.31</v>
      </c>
    </row>
    <row r="17" spans="1:1" x14ac:dyDescent="0.2">
      <c r="A17" s="353" t="s">
        <v>774</v>
      </c>
    </row>
  </sheetData>
  <mergeCells count="3">
    <mergeCell ref="A1:A2"/>
    <mergeCell ref="B1:D1"/>
    <mergeCell ref="E1:E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7"/>
  <sheetViews>
    <sheetView workbookViewId="0">
      <selection activeCell="K14" sqref="K14"/>
    </sheetView>
  </sheetViews>
  <sheetFormatPr baseColWidth="10" defaultColWidth="11.42578125" defaultRowHeight="11.25" x14ac:dyDescent="0.2"/>
  <cols>
    <col min="1" max="16384" width="11.42578125" style="152"/>
  </cols>
  <sheetData>
    <row r="1" spans="1:6" x14ac:dyDescent="0.2">
      <c r="A1" s="547">
        <v>2020</v>
      </c>
      <c r="B1" s="547" t="s">
        <v>747</v>
      </c>
      <c r="C1" s="547"/>
      <c r="D1" s="547"/>
      <c r="E1" s="547" t="s">
        <v>581</v>
      </c>
      <c r="F1" s="301" t="s">
        <v>616</v>
      </c>
    </row>
    <row r="2" spans="1:6" ht="22.5" x14ac:dyDescent="0.2">
      <c r="A2" s="547"/>
      <c r="B2" s="303" t="s">
        <v>760</v>
      </c>
      <c r="C2" s="303" t="s">
        <v>761</v>
      </c>
      <c r="D2" s="303" t="s">
        <v>753</v>
      </c>
      <c r="E2" s="547"/>
      <c r="F2" s="303" t="s">
        <v>765</v>
      </c>
    </row>
    <row r="3" spans="1:6" x14ac:dyDescent="0.2">
      <c r="A3" s="343" t="s">
        <v>339</v>
      </c>
      <c r="B3" s="339">
        <v>12.52</v>
      </c>
      <c r="C3" s="339">
        <v>13.04</v>
      </c>
      <c r="D3" s="339">
        <v>15.1</v>
      </c>
      <c r="E3" s="339">
        <v>12.7</v>
      </c>
      <c r="F3" s="339">
        <v>37.86</v>
      </c>
    </row>
    <row r="4" spans="1:6" x14ac:dyDescent="0.2">
      <c r="A4" s="351" t="s">
        <v>340</v>
      </c>
      <c r="B4" s="352">
        <v>12.5</v>
      </c>
      <c r="C4" s="352">
        <v>12.85</v>
      </c>
      <c r="D4" s="352">
        <v>14.66</v>
      </c>
      <c r="E4" s="352">
        <v>12.67</v>
      </c>
      <c r="F4" s="352">
        <v>38.14</v>
      </c>
    </row>
    <row r="5" spans="1:6" x14ac:dyDescent="0.2">
      <c r="A5" s="343" t="s">
        <v>341</v>
      </c>
      <c r="B5" s="339">
        <v>12.43</v>
      </c>
      <c r="C5" s="339">
        <v>12.7</v>
      </c>
      <c r="D5" s="339">
        <v>14.48</v>
      </c>
      <c r="E5" s="339">
        <v>12.6</v>
      </c>
      <c r="F5" s="339">
        <v>38.01</v>
      </c>
    </row>
    <row r="6" spans="1:6" x14ac:dyDescent="0.2">
      <c r="A6" s="351" t="s">
        <v>342</v>
      </c>
      <c r="B6" s="352">
        <v>12.46</v>
      </c>
      <c r="C6" s="352">
        <v>12.73</v>
      </c>
      <c r="D6" s="352">
        <v>14.38</v>
      </c>
      <c r="E6" s="352">
        <v>12.53</v>
      </c>
      <c r="F6" s="352">
        <v>38.01</v>
      </c>
    </row>
    <row r="7" spans="1:6" x14ac:dyDescent="0.2">
      <c r="A7" s="343" t="s">
        <v>343</v>
      </c>
      <c r="B7" s="339">
        <v>12.32</v>
      </c>
      <c r="C7" s="339">
        <v>12.52</v>
      </c>
      <c r="D7" s="339">
        <v>14.23</v>
      </c>
      <c r="E7" s="339">
        <v>12.09</v>
      </c>
      <c r="F7" s="339">
        <v>35.85</v>
      </c>
    </row>
    <row r="8" spans="1:6" x14ac:dyDescent="0.2">
      <c r="A8" s="351" t="s">
        <v>344</v>
      </c>
      <c r="B8" s="352">
        <v>11.94</v>
      </c>
      <c r="C8" s="352">
        <v>12.16</v>
      </c>
      <c r="D8" s="352">
        <v>13.95</v>
      </c>
      <c r="E8" s="352">
        <v>11.43</v>
      </c>
      <c r="F8" s="352">
        <v>36.24</v>
      </c>
    </row>
    <row r="9" spans="1:6" x14ac:dyDescent="0.2">
      <c r="A9" s="343" t="s">
        <v>345</v>
      </c>
      <c r="B9" s="339">
        <v>11.31</v>
      </c>
      <c r="C9" s="339">
        <v>11.6</v>
      </c>
      <c r="D9" s="339">
        <v>13.36</v>
      </c>
      <c r="E9" s="339">
        <v>10.76</v>
      </c>
      <c r="F9" s="339">
        <v>37.17</v>
      </c>
    </row>
    <row r="10" spans="1:6" x14ac:dyDescent="0.2">
      <c r="A10" s="351" t="s">
        <v>346</v>
      </c>
      <c r="B10" s="352">
        <v>11.25</v>
      </c>
      <c r="C10" s="352">
        <v>11.45</v>
      </c>
      <c r="D10" s="352">
        <v>13.09</v>
      </c>
      <c r="E10" s="352">
        <v>10.69</v>
      </c>
      <c r="F10" s="352">
        <v>37.020000000000003</v>
      </c>
    </row>
    <row r="11" spans="1:6" x14ac:dyDescent="0.2">
      <c r="A11" s="343" t="s">
        <v>758</v>
      </c>
      <c r="B11" s="339">
        <v>11.29</v>
      </c>
      <c r="C11" s="339">
        <v>11.72</v>
      </c>
      <c r="D11" s="339">
        <v>13.43</v>
      </c>
      <c r="E11" s="339">
        <v>10.72</v>
      </c>
      <c r="F11" s="339">
        <v>37.9</v>
      </c>
    </row>
    <row r="12" spans="1:6" x14ac:dyDescent="0.2">
      <c r="A12" s="351" t="s">
        <v>348</v>
      </c>
      <c r="B12" s="352">
        <v>11.26</v>
      </c>
      <c r="C12" s="352">
        <v>11.6</v>
      </c>
      <c r="D12" s="352">
        <v>13.36</v>
      </c>
      <c r="E12" s="352">
        <v>10.66</v>
      </c>
      <c r="F12" s="352">
        <v>37.56</v>
      </c>
    </row>
    <row r="13" spans="1:6" x14ac:dyDescent="0.2">
      <c r="A13" s="343" t="s">
        <v>349</v>
      </c>
      <c r="B13" s="339">
        <v>11.27</v>
      </c>
      <c r="C13" s="339">
        <v>11.53</v>
      </c>
      <c r="D13" s="339">
        <v>13.24</v>
      </c>
      <c r="E13" s="339">
        <v>10.56</v>
      </c>
      <c r="F13" s="339">
        <v>37.659999999999997</v>
      </c>
    </row>
    <row r="14" spans="1:6" x14ac:dyDescent="0.2">
      <c r="A14" s="351" t="s">
        <v>350</v>
      </c>
      <c r="B14" s="352">
        <v>11.27</v>
      </c>
      <c r="C14" s="352">
        <v>11.53</v>
      </c>
      <c r="D14" s="352">
        <v>13.26</v>
      </c>
      <c r="E14" s="352">
        <v>10.79</v>
      </c>
      <c r="F14" s="352">
        <v>38.31</v>
      </c>
    </row>
    <row r="17" spans="1:1" x14ac:dyDescent="0.2">
      <c r="A17" s="353" t="s">
        <v>775</v>
      </c>
    </row>
  </sheetData>
  <mergeCells count="3">
    <mergeCell ref="A1:A2"/>
    <mergeCell ref="B1:D1"/>
    <mergeCell ref="E1:E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9"/>
  <sheetViews>
    <sheetView workbookViewId="0">
      <selection activeCell="H15" sqref="H15"/>
    </sheetView>
  </sheetViews>
  <sheetFormatPr baseColWidth="10" defaultColWidth="12.85546875" defaultRowHeight="11.25" x14ac:dyDescent="0.2"/>
  <cols>
    <col min="1" max="1" width="16.85546875" style="152" customWidth="1"/>
    <col min="2" max="16384" width="12.85546875" style="152"/>
  </cols>
  <sheetData>
    <row r="1" spans="1:7" ht="15" customHeight="1" x14ac:dyDescent="0.2">
      <c r="A1" s="548" t="s">
        <v>776</v>
      </c>
      <c r="B1" s="548"/>
      <c r="C1" s="548"/>
      <c r="D1" s="548"/>
      <c r="E1" s="548"/>
      <c r="F1" s="548"/>
      <c r="G1" s="548"/>
    </row>
    <row r="2" spans="1:7" x14ac:dyDescent="0.2">
      <c r="A2" s="301" t="s">
        <v>658</v>
      </c>
      <c r="B2" s="357">
        <v>2015</v>
      </c>
      <c r="C2" s="357">
        <v>2016</v>
      </c>
      <c r="D2" s="357">
        <v>2017</v>
      </c>
      <c r="E2" s="357">
        <v>2018</v>
      </c>
      <c r="F2" s="357">
        <v>2019</v>
      </c>
      <c r="G2" s="357">
        <v>2020</v>
      </c>
    </row>
    <row r="3" spans="1:7" x14ac:dyDescent="0.2">
      <c r="A3" s="264" t="s">
        <v>777</v>
      </c>
      <c r="B3" s="358">
        <v>2906.62577543</v>
      </c>
      <c r="C3" s="358">
        <v>845.25242036999998</v>
      </c>
      <c r="D3" s="358">
        <v>572.5834678199999</v>
      </c>
      <c r="E3" s="358">
        <v>2367.2338010399999</v>
      </c>
      <c r="F3" s="358">
        <v>2071.6806900000001</v>
      </c>
      <c r="G3" s="557">
        <v>4088.7639535600001</v>
      </c>
    </row>
    <row r="4" spans="1:7" x14ac:dyDescent="0.2">
      <c r="A4" s="359" t="s">
        <v>472</v>
      </c>
      <c r="B4" s="360">
        <v>50898.884280329992</v>
      </c>
      <c r="C4" s="360">
        <v>60314.939718669993</v>
      </c>
      <c r="D4" s="360">
        <v>51808.680523565345</v>
      </c>
      <c r="E4" s="360">
        <v>51399.357709999997</v>
      </c>
      <c r="F4" s="360">
        <v>54715.3891</v>
      </c>
      <c r="G4" s="558">
        <v>58398.67776436</v>
      </c>
    </row>
    <row r="5" spans="1:7" ht="13.5" customHeight="1" x14ac:dyDescent="0.2">
      <c r="A5" s="264" t="s">
        <v>778</v>
      </c>
      <c r="B5" s="358">
        <v>1075.66783246</v>
      </c>
      <c r="C5" s="358">
        <v>1460.97154454</v>
      </c>
      <c r="D5" s="358">
        <v>607.96582131485241</v>
      </c>
      <c r="E5" s="358">
        <v>66.169367705094345</v>
      </c>
      <c r="F5" s="358">
        <v>0</v>
      </c>
      <c r="G5" s="557">
        <v>751.04228480999984</v>
      </c>
    </row>
    <row r="6" spans="1:7" x14ac:dyDescent="0.2">
      <c r="A6" s="359" t="s">
        <v>779</v>
      </c>
      <c r="B6" s="360">
        <v>16707.74086319</v>
      </c>
      <c r="C6" s="360">
        <v>18678.917385739998</v>
      </c>
      <c r="D6" s="360">
        <v>19961.242156737339</v>
      </c>
      <c r="E6" s="360">
        <v>17803.355744929999</v>
      </c>
      <c r="F6" s="360">
        <v>15691.549630000001</v>
      </c>
      <c r="G6" s="558">
        <v>13415.925824459287</v>
      </c>
    </row>
    <row r="7" spans="1:7" ht="12.75" customHeight="1" x14ac:dyDescent="0.2">
      <c r="A7" s="264" t="s">
        <v>665</v>
      </c>
      <c r="B7" s="358">
        <v>5843.2858983000015</v>
      </c>
      <c r="C7" s="358">
        <v>7606.3455707452658</v>
      </c>
      <c r="D7" s="358">
        <v>9054.4881776435159</v>
      </c>
      <c r="E7" s="358">
        <v>9190.9540742559111</v>
      </c>
      <c r="F7" s="358">
        <v>7790.5268762799988</v>
      </c>
      <c r="G7" s="557">
        <v>6941.0733020099979</v>
      </c>
    </row>
    <row r="8" spans="1:7" ht="15" customHeight="1" x14ac:dyDescent="0.2">
      <c r="A8" s="359" t="s">
        <v>780</v>
      </c>
      <c r="B8" s="360">
        <v>9814.3024356599999</v>
      </c>
      <c r="C8" s="360">
        <v>12134.309995242867</v>
      </c>
      <c r="D8" s="360">
        <v>16837.860044230871</v>
      </c>
      <c r="E8" s="360">
        <v>16696.251479999999</v>
      </c>
      <c r="F8" s="360">
        <v>13122.746239999999</v>
      </c>
      <c r="G8" s="558">
        <v>4416.2286751199999</v>
      </c>
    </row>
    <row r="9" spans="1:7" x14ac:dyDescent="0.2">
      <c r="A9" s="264" t="s">
        <v>627</v>
      </c>
      <c r="B9" s="358">
        <v>223.20387048000003</v>
      </c>
      <c r="C9" s="358">
        <v>111.52803432345961</v>
      </c>
      <c r="D9" s="358">
        <v>74.379248054086716</v>
      </c>
      <c r="E9" s="358">
        <v>90.291920616441146</v>
      </c>
      <c r="F9" s="358">
        <v>96.564067572607726</v>
      </c>
      <c r="G9" s="557">
        <v>265.05030929933542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EX37"/>
  <sheetViews>
    <sheetView showGridLines="0" workbookViewId="0">
      <pane ySplit="7" topLeftCell="A8" activePane="bottomLeft" state="frozen"/>
      <selection activeCell="E16" sqref="E16"/>
      <selection pane="bottomLeft" activeCell="S28" sqref="S28"/>
    </sheetView>
  </sheetViews>
  <sheetFormatPr baseColWidth="10" defaultRowHeight="15" x14ac:dyDescent="0.25"/>
  <cols>
    <col min="1" max="2" width="9.5703125" style="2" customWidth="1"/>
    <col min="3" max="3" width="39.7109375" style="1" customWidth="1"/>
    <col min="4" max="4" width="10.42578125" style="3" customWidth="1"/>
    <col min="5" max="5" width="9.5703125" style="3" customWidth="1"/>
    <col min="6" max="6" width="10.28515625" style="3" customWidth="1"/>
    <col min="7" max="7" width="9.5703125" style="3" customWidth="1"/>
    <col min="8" max="154" width="11.5703125" style="56"/>
  </cols>
  <sheetData>
    <row r="2" spans="1:154" x14ac:dyDescent="0.25">
      <c r="A2" s="440" t="s">
        <v>85</v>
      </c>
      <c r="B2" s="440"/>
      <c r="C2" s="440"/>
      <c r="D2" s="440"/>
      <c r="E2" s="440"/>
      <c r="F2" s="440"/>
      <c r="G2" s="440"/>
      <c r="H2" s="57"/>
      <c r="I2" s="57"/>
      <c r="J2" s="57"/>
      <c r="K2" s="57"/>
      <c r="L2" s="57"/>
    </row>
    <row r="4" spans="1:154" s="48" customFormat="1" ht="14.45" customHeight="1" x14ac:dyDescent="0.25">
      <c r="A4" s="441" t="s">
        <v>86</v>
      </c>
      <c r="B4" s="441"/>
      <c r="C4" s="441"/>
      <c r="D4" s="441"/>
      <c r="E4" s="441"/>
      <c r="F4" s="441"/>
      <c r="G4" s="441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</row>
    <row r="5" spans="1:154" s="48" customFormat="1" ht="14.45" customHeight="1" x14ac:dyDescent="0.25">
      <c r="A5" s="441" t="s">
        <v>87</v>
      </c>
      <c r="B5" s="441"/>
      <c r="C5" s="441"/>
      <c r="D5" s="441"/>
      <c r="E5" s="441"/>
      <c r="F5" s="441"/>
      <c r="G5" s="441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</row>
    <row r="6" spans="1:154" s="48" customFormat="1" ht="14.45" customHeight="1" x14ac:dyDescent="0.25">
      <c r="A6" s="442" t="s">
        <v>88</v>
      </c>
      <c r="B6" s="442" t="s">
        <v>4</v>
      </c>
      <c r="C6" s="442" t="s">
        <v>89</v>
      </c>
      <c r="D6" s="7" t="s">
        <v>90</v>
      </c>
      <c r="E6" s="7" t="s">
        <v>91</v>
      </c>
      <c r="F6" s="7" t="s">
        <v>91</v>
      </c>
      <c r="G6" s="7" t="s">
        <v>92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</row>
    <row r="7" spans="1:154" s="48" customFormat="1" ht="14.45" customHeight="1" x14ac:dyDescent="0.25">
      <c r="A7" s="442"/>
      <c r="B7" s="442"/>
      <c r="C7" s="442"/>
      <c r="D7" s="7" t="s">
        <v>93</v>
      </c>
      <c r="E7" s="7" t="s">
        <v>94</v>
      </c>
      <c r="F7" s="7" t="s">
        <v>95</v>
      </c>
      <c r="G7" s="7" t="s">
        <v>96</v>
      </c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</row>
    <row r="8" spans="1:154" s="58" customFormat="1" ht="14.45" customHeight="1" x14ac:dyDescent="0.25">
      <c r="A8" s="449" t="s">
        <v>97</v>
      </c>
      <c r="B8" s="456">
        <v>107</v>
      </c>
      <c r="C8" s="456" t="s">
        <v>98</v>
      </c>
      <c r="D8" s="60" t="s">
        <v>99</v>
      </c>
      <c r="E8" s="61">
        <v>38575</v>
      </c>
      <c r="F8" s="61">
        <v>38596</v>
      </c>
      <c r="G8" s="459" t="s">
        <v>100</v>
      </c>
    </row>
    <row r="9" spans="1:154" s="58" customFormat="1" ht="14.45" customHeight="1" x14ac:dyDescent="0.25">
      <c r="A9" s="450"/>
      <c r="B9" s="457"/>
      <c r="C9" s="457"/>
      <c r="D9" s="62" t="s">
        <v>101</v>
      </c>
      <c r="E9" s="63">
        <v>39312</v>
      </c>
      <c r="F9" s="63">
        <v>39377</v>
      </c>
      <c r="G9" s="460"/>
      <c r="K9" s="58" t="s">
        <v>102</v>
      </c>
    </row>
    <row r="10" spans="1:154" s="58" customFormat="1" ht="14.45" customHeight="1" x14ac:dyDescent="0.25">
      <c r="A10" s="450"/>
      <c r="B10" s="457"/>
      <c r="C10" s="457"/>
      <c r="D10" s="62" t="s">
        <v>103</v>
      </c>
      <c r="E10" s="63">
        <v>40403</v>
      </c>
      <c r="F10" s="63">
        <v>40408</v>
      </c>
      <c r="G10" s="460"/>
      <c r="J10" s="58" t="s">
        <v>97</v>
      </c>
      <c r="K10" s="58">
        <v>1</v>
      </c>
    </row>
    <row r="11" spans="1:154" s="58" customFormat="1" ht="14.45" customHeight="1" x14ac:dyDescent="0.25">
      <c r="A11" s="450"/>
      <c r="B11" s="457"/>
      <c r="C11" s="457"/>
      <c r="D11" s="62" t="s">
        <v>104</v>
      </c>
      <c r="E11" s="63">
        <v>42124</v>
      </c>
      <c r="F11" s="63">
        <v>42157</v>
      </c>
      <c r="G11" s="460"/>
      <c r="J11" s="58" t="s">
        <v>105</v>
      </c>
      <c r="K11" s="58">
        <v>4</v>
      </c>
    </row>
    <row r="12" spans="1:154" s="58" customFormat="1" ht="14.45" customHeight="1" x14ac:dyDescent="0.25">
      <c r="A12" s="450"/>
      <c r="B12" s="457"/>
      <c r="C12" s="457"/>
      <c r="D12" s="62" t="s">
        <v>106</v>
      </c>
      <c r="E12" s="63">
        <v>42747</v>
      </c>
      <c r="F12" s="63">
        <v>43003</v>
      </c>
      <c r="G12" s="460"/>
      <c r="J12" s="58" t="s">
        <v>107</v>
      </c>
      <c r="K12" s="58">
        <v>7</v>
      </c>
    </row>
    <row r="13" spans="1:154" s="58" customFormat="1" ht="14.45" customHeight="1" x14ac:dyDescent="0.25">
      <c r="A13" s="451"/>
      <c r="B13" s="458"/>
      <c r="C13" s="458"/>
      <c r="D13" s="64" t="s">
        <v>108</v>
      </c>
      <c r="E13" s="65">
        <v>43449</v>
      </c>
      <c r="F13" s="65">
        <v>43550</v>
      </c>
      <c r="G13" s="66"/>
      <c r="K13" s="58">
        <f>SUM(K10:K12)</f>
        <v>12</v>
      </c>
    </row>
    <row r="14" spans="1:154" ht="14.45" customHeight="1" x14ac:dyDescent="0.25">
      <c r="A14" s="449" t="s">
        <v>105</v>
      </c>
      <c r="B14" s="461" t="s">
        <v>6</v>
      </c>
      <c r="C14" s="453" t="s">
        <v>109</v>
      </c>
      <c r="D14" s="67" t="s">
        <v>110</v>
      </c>
      <c r="E14" s="68">
        <v>38827</v>
      </c>
      <c r="F14" s="69">
        <v>38841</v>
      </c>
      <c r="G14" s="454" t="s">
        <v>100</v>
      </c>
    </row>
    <row r="15" spans="1:154" ht="14.45" customHeight="1" x14ac:dyDescent="0.25">
      <c r="A15" s="450"/>
      <c r="B15" s="462"/>
      <c r="C15" s="448"/>
      <c r="D15" s="70" t="s">
        <v>111</v>
      </c>
      <c r="E15" s="71">
        <v>41064</v>
      </c>
      <c r="F15" s="72">
        <v>41100</v>
      </c>
      <c r="G15" s="455"/>
    </row>
    <row r="16" spans="1:154" ht="14.45" customHeight="1" x14ac:dyDescent="0.25">
      <c r="A16" s="450"/>
      <c r="B16" s="462"/>
      <c r="C16" s="448"/>
      <c r="D16" s="70" t="s">
        <v>112</v>
      </c>
      <c r="E16" s="71">
        <v>42270</v>
      </c>
      <c r="F16" s="72">
        <v>42409</v>
      </c>
      <c r="G16" s="455"/>
      <c r="J16" s="444" t="s">
        <v>113</v>
      </c>
      <c r="K16" s="444"/>
      <c r="L16" s="444"/>
      <c r="M16" s="444"/>
      <c r="N16" s="444"/>
      <c r="O16" s="73"/>
      <c r="P16" s="73"/>
    </row>
    <row r="17" spans="1:14" ht="14.45" customHeight="1" x14ac:dyDescent="0.25">
      <c r="A17" s="450"/>
      <c r="B17" s="445" t="s">
        <v>40</v>
      </c>
      <c r="C17" s="446" t="s">
        <v>114</v>
      </c>
      <c r="D17" s="75" t="s">
        <v>115</v>
      </c>
      <c r="E17" s="76">
        <v>39407</v>
      </c>
      <c r="F17" s="77">
        <v>39407</v>
      </c>
      <c r="G17" s="78" t="s">
        <v>100</v>
      </c>
      <c r="J17" s="444"/>
      <c r="K17" s="444"/>
      <c r="L17" s="444"/>
      <c r="M17" s="444"/>
      <c r="N17" s="444"/>
    </row>
    <row r="18" spans="1:14" ht="14.45" customHeight="1" x14ac:dyDescent="0.25">
      <c r="A18" s="450"/>
      <c r="B18" s="445"/>
      <c r="C18" s="446"/>
      <c r="D18" s="75" t="s">
        <v>116</v>
      </c>
      <c r="E18" s="76">
        <v>42872</v>
      </c>
      <c r="F18" s="77">
        <v>42872</v>
      </c>
      <c r="G18" s="78"/>
    </row>
    <row r="19" spans="1:14" ht="20.45" customHeight="1" x14ac:dyDescent="0.25">
      <c r="A19" s="450"/>
      <c r="B19" s="447" t="s">
        <v>46</v>
      </c>
      <c r="C19" s="448" t="s">
        <v>117</v>
      </c>
      <c r="D19" s="70" t="s">
        <v>118</v>
      </c>
      <c r="E19" s="71">
        <v>39919</v>
      </c>
      <c r="F19" s="72">
        <v>39919</v>
      </c>
      <c r="G19" s="80" t="s">
        <v>100</v>
      </c>
    </row>
    <row r="20" spans="1:14" x14ac:dyDescent="0.25">
      <c r="A20" s="450"/>
      <c r="B20" s="447"/>
      <c r="C20" s="448"/>
      <c r="D20" s="70" t="s">
        <v>119</v>
      </c>
      <c r="E20" s="71">
        <v>43063</v>
      </c>
      <c r="F20" s="72">
        <v>43063</v>
      </c>
      <c r="G20" s="80"/>
    </row>
    <row r="21" spans="1:14" ht="14.45" customHeight="1" x14ac:dyDescent="0.25">
      <c r="A21" s="451"/>
      <c r="B21" s="81" t="s">
        <v>41</v>
      </c>
      <c r="C21" s="82" t="s">
        <v>120</v>
      </c>
      <c r="D21" s="83" t="s">
        <v>121</v>
      </c>
      <c r="E21" s="84">
        <v>42228</v>
      </c>
      <c r="F21" s="85">
        <v>42265</v>
      </c>
      <c r="G21" s="86" t="s">
        <v>100</v>
      </c>
    </row>
    <row r="22" spans="1:14" ht="14.45" customHeight="1" x14ac:dyDescent="0.25">
      <c r="A22" s="449" t="s">
        <v>107</v>
      </c>
      <c r="B22" s="452" t="s">
        <v>38</v>
      </c>
      <c r="C22" s="453" t="s">
        <v>122</v>
      </c>
      <c r="D22" s="67" t="s">
        <v>123</v>
      </c>
      <c r="E22" s="68">
        <v>39144</v>
      </c>
      <c r="F22" s="69">
        <v>39184</v>
      </c>
      <c r="G22" s="454" t="s">
        <v>100</v>
      </c>
    </row>
    <row r="23" spans="1:14" x14ac:dyDescent="0.25">
      <c r="A23" s="450"/>
      <c r="B23" s="447"/>
      <c r="C23" s="448"/>
      <c r="D23" s="70" t="s">
        <v>124</v>
      </c>
      <c r="E23" s="71">
        <v>39724</v>
      </c>
      <c r="F23" s="72">
        <v>39769</v>
      </c>
      <c r="G23" s="455"/>
    </row>
    <row r="24" spans="1:14" x14ac:dyDescent="0.25">
      <c r="A24" s="450"/>
      <c r="B24" s="447"/>
      <c r="C24" s="448"/>
      <c r="D24" s="70" t="s">
        <v>125</v>
      </c>
      <c r="E24" s="71">
        <v>40141</v>
      </c>
      <c r="F24" s="72">
        <v>40156</v>
      </c>
      <c r="G24" s="455"/>
    </row>
    <row r="25" spans="1:14" x14ac:dyDescent="0.25">
      <c r="A25" s="450"/>
      <c r="B25" s="447"/>
      <c r="C25" s="448"/>
      <c r="D25" s="70" t="s">
        <v>126</v>
      </c>
      <c r="E25" s="71">
        <v>40619</v>
      </c>
      <c r="F25" s="72">
        <v>40668</v>
      </c>
      <c r="G25" s="455"/>
    </row>
    <row r="26" spans="1:14" ht="22.5" x14ac:dyDescent="0.25">
      <c r="A26" s="450"/>
      <c r="B26" s="447"/>
      <c r="C26" s="448"/>
      <c r="D26" s="70" t="s">
        <v>127</v>
      </c>
      <c r="E26" s="71">
        <v>41050</v>
      </c>
      <c r="F26" s="72">
        <v>41142</v>
      </c>
      <c r="G26" s="455"/>
    </row>
    <row r="27" spans="1:14" x14ac:dyDescent="0.25">
      <c r="A27" s="450"/>
      <c r="B27" s="447"/>
      <c r="C27" s="448"/>
      <c r="D27" s="70" t="s">
        <v>128</v>
      </c>
      <c r="E27" s="71">
        <v>43561</v>
      </c>
      <c r="F27" s="72">
        <v>43585</v>
      </c>
      <c r="G27" s="80"/>
    </row>
    <row r="28" spans="1:14" x14ac:dyDescent="0.25">
      <c r="A28" s="450"/>
      <c r="B28" s="87" t="s">
        <v>16</v>
      </c>
      <c r="C28" s="88" t="s">
        <v>129</v>
      </c>
      <c r="D28" s="75" t="s">
        <v>130</v>
      </c>
      <c r="E28" s="76">
        <v>42996</v>
      </c>
      <c r="F28" s="77">
        <v>43017</v>
      </c>
      <c r="G28" s="78" t="s">
        <v>100</v>
      </c>
    </row>
    <row r="29" spans="1:14" x14ac:dyDescent="0.25">
      <c r="A29" s="450"/>
      <c r="B29" s="89" t="s">
        <v>17</v>
      </c>
      <c r="C29" s="90" t="s">
        <v>129</v>
      </c>
      <c r="D29" s="70" t="s">
        <v>131</v>
      </c>
      <c r="E29" s="71">
        <v>42996</v>
      </c>
      <c r="F29" s="72">
        <v>43017</v>
      </c>
      <c r="G29" s="80" t="s">
        <v>100</v>
      </c>
    </row>
    <row r="30" spans="1:14" ht="14.45" customHeight="1" x14ac:dyDescent="0.25">
      <c r="A30" s="450"/>
      <c r="B30" s="87" t="s">
        <v>18</v>
      </c>
      <c r="C30" s="91" t="s">
        <v>129</v>
      </c>
      <c r="D30" s="62" t="s">
        <v>132</v>
      </c>
      <c r="E30" s="63">
        <v>42996</v>
      </c>
      <c r="F30" s="77">
        <v>43017</v>
      </c>
      <c r="G30" s="92" t="s">
        <v>100</v>
      </c>
    </row>
    <row r="31" spans="1:14" ht="14.45" customHeight="1" x14ac:dyDescent="0.25">
      <c r="A31" s="450"/>
      <c r="B31" s="93" t="s">
        <v>42</v>
      </c>
      <c r="C31" s="94" t="s">
        <v>133</v>
      </c>
      <c r="D31" s="95" t="s">
        <v>134</v>
      </c>
      <c r="E31" s="96">
        <v>43585</v>
      </c>
      <c r="F31" s="96">
        <v>43588</v>
      </c>
      <c r="G31" s="97" t="s">
        <v>135</v>
      </c>
    </row>
    <row r="32" spans="1:14" ht="14.45" customHeight="1" x14ac:dyDescent="0.25">
      <c r="A32" s="450"/>
      <c r="B32" s="98" t="s">
        <v>44</v>
      </c>
      <c r="C32" s="99" t="s">
        <v>133</v>
      </c>
      <c r="D32" s="100" t="s">
        <v>136</v>
      </c>
      <c r="E32" s="101">
        <v>44014</v>
      </c>
      <c r="F32" s="101">
        <v>44029</v>
      </c>
      <c r="G32" s="102" t="s">
        <v>100</v>
      </c>
    </row>
    <row r="33" spans="1:14" ht="14.45" customHeight="1" x14ac:dyDescent="0.25">
      <c r="A33" s="451"/>
      <c r="B33" s="103" t="s">
        <v>45</v>
      </c>
      <c r="C33" s="104" t="s">
        <v>133</v>
      </c>
      <c r="D33" s="105" t="s">
        <v>137</v>
      </c>
      <c r="E33" s="106">
        <v>44014</v>
      </c>
      <c r="F33" s="106">
        <v>44029</v>
      </c>
      <c r="G33" s="107" t="s">
        <v>100</v>
      </c>
    </row>
    <row r="34" spans="1:14" ht="14.45" customHeight="1" x14ac:dyDescent="0.25">
      <c r="A34" s="442" t="s">
        <v>138</v>
      </c>
      <c r="B34" s="442"/>
      <c r="C34" s="442"/>
      <c r="D34" s="443">
        <v>12</v>
      </c>
      <c r="E34" s="443"/>
      <c r="F34" s="443"/>
      <c r="G34" s="443"/>
      <c r="J34" s="438" t="s">
        <v>139</v>
      </c>
      <c r="K34" s="438"/>
      <c r="L34" s="438"/>
      <c r="M34" s="438"/>
      <c r="N34" s="438"/>
    </row>
    <row r="35" spans="1:14" x14ac:dyDescent="0.25">
      <c r="J35" s="438"/>
      <c r="K35" s="438"/>
      <c r="L35" s="438"/>
      <c r="M35" s="438"/>
      <c r="N35" s="438"/>
    </row>
    <row r="36" spans="1:14" x14ac:dyDescent="0.25">
      <c r="A36" s="1"/>
      <c r="B36" s="1" t="s">
        <v>33</v>
      </c>
    </row>
    <row r="37" spans="1:14" x14ac:dyDescent="0.25">
      <c r="J37" s="1"/>
    </row>
  </sheetData>
  <mergeCells count="26">
    <mergeCell ref="A2:G2"/>
    <mergeCell ref="A4:G4"/>
    <mergeCell ref="A5:G5"/>
    <mergeCell ref="A6:A7"/>
    <mergeCell ref="B6:B7"/>
    <mergeCell ref="C6:C7"/>
    <mergeCell ref="A8:A13"/>
    <mergeCell ref="B8:B13"/>
    <mergeCell ref="C8:C13"/>
    <mergeCell ref="G8:G12"/>
    <mergeCell ref="A14:A21"/>
    <mergeCell ref="B14:B16"/>
    <mergeCell ref="C14:C16"/>
    <mergeCell ref="G14:G16"/>
    <mergeCell ref="A34:C34"/>
    <mergeCell ref="D34:G34"/>
    <mergeCell ref="J34:N35"/>
    <mergeCell ref="J16:N17"/>
    <mergeCell ref="B17:B18"/>
    <mergeCell ref="C17:C18"/>
    <mergeCell ref="B19:B20"/>
    <mergeCell ref="C19:C20"/>
    <mergeCell ref="A22:A33"/>
    <mergeCell ref="B22:B27"/>
    <mergeCell ref="C22:C27"/>
    <mergeCell ref="G22:G26"/>
  </mergeCells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9"/>
  <sheetViews>
    <sheetView workbookViewId="0">
      <selection activeCell="G3" sqref="G3:G9"/>
    </sheetView>
  </sheetViews>
  <sheetFormatPr baseColWidth="10" defaultColWidth="11.42578125" defaultRowHeight="11.25" x14ac:dyDescent="0.2"/>
  <cols>
    <col min="1" max="1" width="17.28515625" style="152" customWidth="1"/>
    <col min="2" max="3" width="11.5703125" style="152" bestFit="1" customWidth="1"/>
    <col min="4" max="5" width="12.140625" style="152" bestFit="1" customWidth="1"/>
    <col min="6" max="6" width="12.140625" style="152" customWidth="1"/>
    <col min="7" max="16384" width="11.42578125" style="152"/>
  </cols>
  <sheetData>
    <row r="1" spans="1:7" ht="11.25" customHeight="1" x14ac:dyDescent="0.2">
      <c r="A1" s="548" t="s">
        <v>781</v>
      </c>
      <c r="B1" s="548"/>
      <c r="C1" s="548"/>
      <c r="D1" s="548"/>
      <c r="E1" s="548"/>
      <c r="F1" s="548"/>
      <c r="G1" s="548"/>
    </row>
    <row r="2" spans="1:7" x14ac:dyDescent="0.2">
      <c r="A2" s="301" t="s">
        <v>658</v>
      </c>
      <c r="B2" s="357">
        <v>2015</v>
      </c>
      <c r="C2" s="357">
        <v>2016</v>
      </c>
      <c r="D2" s="357">
        <v>2017</v>
      </c>
      <c r="E2" s="357">
        <v>2018</v>
      </c>
      <c r="F2" s="357">
        <v>2019</v>
      </c>
      <c r="G2" s="357">
        <v>2020</v>
      </c>
    </row>
    <row r="3" spans="1:7" x14ac:dyDescent="0.2">
      <c r="A3" s="264" t="s">
        <v>777</v>
      </c>
      <c r="B3" s="310">
        <v>120071.32199999999</v>
      </c>
      <c r="C3" s="310">
        <v>24015.807209999999</v>
      </c>
      <c r="D3" s="310">
        <v>25644.312930000004</v>
      </c>
      <c r="E3" s="310">
        <v>138873.87515000001</v>
      </c>
      <c r="F3" s="310">
        <v>121952.401</v>
      </c>
      <c r="G3" s="559">
        <v>151659.41357999999</v>
      </c>
    </row>
    <row r="4" spans="1:7" x14ac:dyDescent="0.2">
      <c r="A4" s="359" t="s">
        <v>403</v>
      </c>
      <c r="B4" s="327">
        <v>449075.22196000005</v>
      </c>
      <c r="C4" s="327">
        <v>522171.52620999998</v>
      </c>
      <c r="D4" s="327">
        <v>747859.38286999997</v>
      </c>
      <c r="E4" s="327">
        <v>998645.90225000004</v>
      </c>
      <c r="F4" s="327">
        <v>600496.80700000003</v>
      </c>
      <c r="G4" s="560">
        <v>599332.35676</v>
      </c>
    </row>
    <row r="5" spans="1:7" ht="13.5" customHeight="1" x14ac:dyDescent="0.2">
      <c r="A5" s="264" t="s">
        <v>778</v>
      </c>
      <c r="B5" s="310">
        <v>34427.769830000005</v>
      </c>
      <c r="C5" s="310">
        <v>32047.066659999997</v>
      </c>
      <c r="D5" s="310">
        <v>31875.486439999997</v>
      </c>
      <c r="E5" s="310">
        <v>4192.7908599999992</v>
      </c>
      <c r="F5" s="310">
        <v>0</v>
      </c>
      <c r="G5" s="559">
        <v>39050.393436000006</v>
      </c>
    </row>
    <row r="6" spans="1:7" x14ac:dyDescent="0.2">
      <c r="A6" s="359" t="s">
        <v>779</v>
      </c>
      <c r="B6" s="327">
        <v>860197.63027000008</v>
      </c>
      <c r="C6" s="327">
        <v>789710.13865999994</v>
      </c>
      <c r="D6" s="327">
        <v>1091366.4119000002</v>
      </c>
      <c r="E6" s="327">
        <v>1182051.5782900001</v>
      </c>
      <c r="F6" s="327">
        <v>883049.86599999992</v>
      </c>
      <c r="G6" s="560">
        <v>533145.27550200012</v>
      </c>
    </row>
    <row r="7" spans="1:7" x14ac:dyDescent="0.2">
      <c r="A7" s="264" t="s">
        <v>665</v>
      </c>
      <c r="B7" s="310">
        <v>436809.03603000002</v>
      </c>
      <c r="C7" s="310">
        <v>449356.63624000002</v>
      </c>
      <c r="D7" s="310">
        <v>589755.60538999981</v>
      </c>
      <c r="E7" s="310">
        <v>783496.04900000012</v>
      </c>
      <c r="F7" s="310">
        <v>677923.78700000001</v>
      </c>
      <c r="G7" s="559">
        <v>600199.89498599991</v>
      </c>
    </row>
    <row r="8" spans="1:7" ht="14.25" customHeight="1" x14ac:dyDescent="0.2">
      <c r="A8" s="359" t="s">
        <v>780</v>
      </c>
      <c r="B8" s="327">
        <v>385145.08389999997</v>
      </c>
      <c r="C8" s="327">
        <v>406790.01468000002</v>
      </c>
      <c r="D8" s="327">
        <v>727719.01191999996</v>
      </c>
      <c r="E8" s="327">
        <v>1004710.6009999998</v>
      </c>
      <c r="F8" s="327">
        <v>730018.87000999996</v>
      </c>
      <c r="G8" s="560">
        <v>238635.30852000002</v>
      </c>
    </row>
    <row r="9" spans="1:7" x14ac:dyDescent="0.2">
      <c r="A9" s="264" t="s">
        <v>627</v>
      </c>
      <c r="B9" s="310">
        <v>26988.060409999998</v>
      </c>
      <c r="C9" s="310">
        <v>19403.875139999996</v>
      </c>
      <c r="D9" s="310">
        <v>17002.569029999999</v>
      </c>
      <c r="E9" s="310">
        <v>25212.224340000001</v>
      </c>
      <c r="F9" s="310">
        <v>26584.375000000007</v>
      </c>
      <c r="G9" s="559">
        <v>22805.447359000002</v>
      </c>
    </row>
  </sheetData>
  <mergeCells count="1">
    <mergeCell ref="A1:G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8"/>
  <sheetViews>
    <sheetView workbookViewId="0">
      <selection activeCell="I16" sqref="I16"/>
    </sheetView>
  </sheetViews>
  <sheetFormatPr baseColWidth="10" defaultColWidth="11.42578125" defaultRowHeight="11.25" x14ac:dyDescent="0.2"/>
  <cols>
    <col min="1" max="1" width="18.28515625" style="152" customWidth="1"/>
    <col min="2" max="16384" width="11.42578125" style="152"/>
  </cols>
  <sheetData>
    <row r="1" spans="1:7" ht="11.25" customHeight="1" x14ac:dyDescent="0.2">
      <c r="A1" s="548" t="s">
        <v>782</v>
      </c>
      <c r="B1" s="548"/>
      <c r="C1" s="548"/>
      <c r="D1" s="548"/>
      <c r="E1" s="548"/>
      <c r="F1" s="548"/>
      <c r="G1" s="548"/>
    </row>
    <row r="2" spans="1:7" x14ac:dyDescent="0.2">
      <c r="A2" s="301" t="s">
        <v>658</v>
      </c>
      <c r="B2" s="357">
        <v>2015</v>
      </c>
      <c r="C2" s="357">
        <v>2016</v>
      </c>
      <c r="D2" s="357">
        <v>2017</v>
      </c>
      <c r="E2" s="357">
        <v>2018</v>
      </c>
      <c r="F2" s="357">
        <v>2019</v>
      </c>
      <c r="G2" s="357">
        <v>2020</v>
      </c>
    </row>
    <row r="3" spans="1:7" x14ac:dyDescent="0.2">
      <c r="A3" s="264" t="s">
        <v>777</v>
      </c>
      <c r="B3" s="358">
        <v>31326.811362690001</v>
      </c>
      <c r="C3" s="358">
        <v>38489.176809190001</v>
      </c>
      <c r="D3" s="358">
        <v>45735.960270209987</v>
      </c>
      <c r="E3" s="358">
        <v>41117.126798816113</v>
      </c>
      <c r="F3" s="358">
        <v>38295.298415730002</v>
      </c>
      <c r="G3" s="358">
        <v>14891.774889910001</v>
      </c>
    </row>
    <row r="4" spans="1:7" ht="15.75" customHeight="1" x14ac:dyDescent="0.2">
      <c r="A4" s="359" t="s">
        <v>778</v>
      </c>
      <c r="B4" s="360">
        <v>1119.1782053799998</v>
      </c>
      <c r="C4" s="360">
        <v>1816.048558934064</v>
      </c>
      <c r="D4" s="360">
        <v>2491.5317679099999</v>
      </c>
      <c r="E4" s="360">
        <v>4240.2989652346741</v>
      </c>
      <c r="F4" s="360">
        <v>4052.6607310700001</v>
      </c>
      <c r="G4" s="360">
        <v>4191.8246371961959</v>
      </c>
    </row>
    <row r="5" spans="1:7" x14ac:dyDescent="0.2">
      <c r="A5" s="264" t="s">
        <v>779</v>
      </c>
      <c r="B5" s="358">
        <v>5063.3591975600002</v>
      </c>
      <c r="C5" s="358">
        <v>6979.0890115800003</v>
      </c>
      <c r="D5" s="358">
        <v>7776.8679274200003</v>
      </c>
      <c r="E5" s="358">
        <v>8428.9021967600002</v>
      </c>
      <c r="F5" s="358">
        <v>6682.4919587200011</v>
      </c>
      <c r="G5" s="358">
        <v>8887.7704717500019</v>
      </c>
    </row>
    <row r="6" spans="1:7" ht="14.25" customHeight="1" x14ac:dyDescent="0.2">
      <c r="A6" s="359" t="s">
        <v>665</v>
      </c>
      <c r="B6" s="360">
        <v>22074.730053859996</v>
      </c>
      <c r="C6" s="360">
        <v>28310.88809416</v>
      </c>
      <c r="D6" s="360">
        <v>30881.23481378</v>
      </c>
      <c r="E6" s="360">
        <v>29994.934545309996</v>
      </c>
      <c r="F6" s="360">
        <v>29288.190214500002</v>
      </c>
      <c r="G6" s="360">
        <v>26958.531973990001</v>
      </c>
    </row>
    <row r="7" spans="1:7" x14ac:dyDescent="0.2">
      <c r="A7" s="264" t="s">
        <v>627</v>
      </c>
      <c r="B7" s="358">
        <v>1117.6383694899998</v>
      </c>
      <c r="C7" s="358">
        <v>1093.1253816595736</v>
      </c>
      <c r="D7" s="358">
        <v>1322.8717466061296</v>
      </c>
      <c r="E7" s="358">
        <v>1232.4574569744</v>
      </c>
      <c r="F7" s="358">
        <v>1187.3310379446102</v>
      </c>
      <c r="G7" s="358">
        <v>1020.4262996635845</v>
      </c>
    </row>
    <row r="8" spans="1:7" ht="15.75" customHeight="1" x14ac:dyDescent="0.2">
      <c r="A8" s="359" t="s">
        <v>780</v>
      </c>
      <c r="B8" s="360">
        <v>0</v>
      </c>
      <c r="C8" s="360">
        <v>149.64593094</v>
      </c>
      <c r="D8" s="360">
        <v>149.86254596000001</v>
      </c>
      <c r="E8" s="360">
        <v>0</v>
      </c>
      <c r="F8" s="360">
        <v>207.37050006999999</v>
      </c>
      <c r="G8" s="360">
        <v>201.93434870000002</v>
      </c>
    </row>
  </sheetData>
  <mergeCells count="1">
    <mergeCell ref="A1:G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8"/>
  <sheetViews>
    <sheetView workbookViewId="0">
      <selection activeCell="J13" sqref="J13"/>
    </sheetView>
  </sheetViews>
  <sheetFormatPr baseColWidth="10" defaultColWidth="11.42578125" defaultRowHeight="11.25" x14ac:dyDescent="0.2"/>
  <cols>
    <col min="1" max="1" width="17.7109375" style="152" customWidth="1"/>
    <col min="2" max="5" width="12.140625" style="152" bestFit="1" customWidth="1"/>
    <col min="6" max="6" width="12.140625" style="152" customWidth="1"/>
    <col min="7" max="16384" width="11.42578125" style="152"/>
  </cols>
  <sheetData>
    <row r="1" spans="1:7" ht="11.25" customHeight="1" x14ac:dyDescent="0.2">
      <c r="A1" s="548" t="s">
        <v>783</v>
      </c>
      <c r="B1" s="548"/>
      <c r="C1" s="548"/>
      <c r="D1" s="548"/>
      <c r="E1" s="548"/>
      <c r="F1" s="548"/>
      <c r="G1" s="548"/>
    </row>
    <row r="2" spans="1:7" x14ac:dyDescent="0.2">
      <c r="A2" s="301" t="s">
        <v>658</v>
      </c>
      <c r="B2" s="357">
        <v>2015</v>
      </c>
      <c r="C2" s="357">
        <v>2016</v>
      </c>
      <c r="D2" s="357">
        <v>2017</v>
      </c>
      <c r="E2" s="357">
        <v>2018</v>
      </c>
      <c r="F2" s="357">
        <v>2019</v>
      </c>
      <c r="G2" s="357">
        <v>2020</v>
      </c>
    </row>
    <row r="3" spans="1:7" x14ac:dyDescent="0.2">
      <c r="A3" s="264" t="s">
        <v>777</v>
      </c>
      <c r="B3" s="310">
        <v>1642254.8758139999</v>
      </c>
      <c r="C3" s="310">
        <v>1600634.421178</v>
      </c>
      <c r="D3" s="310">
        <v>2458799.1941959998</v>
      </c>
      <c r="E3" s="310">
        <v>2853824.6534399996</v>
      </c>
      <c r="F3" s="310">
        <v>2478976.8286399995</v>
      </c>
      <c r="G3" s="310">
        <v>776421.8211099999</v>
      </c>
    </row>
    <row r="4" spans="1:7" ht="13.5" customHeight="1" x14ac:dyDescent="0.2">
      <c r="A4" s="359" t="s">
        <v>778</v>
      </c>
      <c r="B4" s="327">
        <v>40171.635823999997</v>
      </c>
      <c r="C4" s="327">
        <v>60123.608573000005</v>
      </c>
      <c r="D4" s="327">
        <v>109991.907594</v>
      </c>
      <c r="E4" s="327">
        <v>208664.12909599999</v>
      </c>
      <c r="F4" s="327">
        <v>137615.37618000002</v>
      </c>
      <c r="G4" s="327">
        <v>148553.788726</v>
      </c>
    </row>
    <row r="5" spans="1:7" x14ac:dyDescent="0.2">
      <c r="A5" s="264" t="s">
        <v>779</v>
      </c>
      <c r="B5" s="310">
        <v>380893.66287000006</v>
      </c>
      <c r="C5" s="310">
        <v>423613.284935</v>
      </c>
      <c r="D5" s="310">
        <v>559352.13084400003</v>
      </c>
      <c r="E5" s="310">
        <v>716835.43862000003</v>
      </c>
      <c r="F5" s="310">
        <v>509834.77624000004</v>
      </c>
      <c r="G5" s="310">
        <v>491289.16489100002</v>
      </c>
    </row>
    <row r="6" spans="1:7" ht="12" customHeight="1" x14ac:dyDescent="0.2">
      <c r="A6" s="359" t="s">
        <v>665</v>
      </c>
      <c r="B6" s="327">
        <v>1526737.0540420003</v>
      </c>
      <c r="C6" s="327">
        <v>1602705.7337450001</v>
      </c>
      <c r="D6" s="327">
        <v>2047809.6580060003</v>
      </c>
      <c r="E6" s="327">
        <v>2661152.5429799999</v>
      </c>
      <c r="F6" s="327">
        <v>2414391.4043899998</v>
      </c>
      <c r="G6" s="327">
        <v>1551553.0853510001</v>
      </c>
    </row>
    <row r="7" spans="1:7" x14ac:dyDescent="0.2">
      <c r="A7" s="264" t="s">
        <v>627</v>
      </c>
      <c r="B7" s="310">
        <v>258931.89417499996</v>
      </c>
      <c r="C7" s="310">
        <v>276285.93764600001</v>
      </c>
      <c r="D7" s="310">
        <v>267397.12678999995</v>
      </c>
      <c r="E7" s="310">
        <v>321943.78989300004</v>
      </c>
      <c r="F7" s="310">
        <v>310819.01277999999</v>
      </c>
      <c r="G7" s="310">
        <v>237693.795992</v>
      </c>
    </row>
    <row r="8" spans="1:7" ht="14.25" customHeight="1" x14ac:dyDescent="0.2">
      <c r="A8" s="359" t="s">
        <v>780</v>
      </c>
      <c r="B8" s="361">
        <v>0</v>
      </c>
      <c r="C8" s="327">
        <v>6255.0117699999992</v>
      </c>
      <c r="D8" s="327">
        <v>7936.4788699999999</v>
      </c>
      <c r="E8" s="361">
        <v>0</v>
      </c>
      <c r="F8" s="361">
        <v>13019.773580000001</v>
      </c>
      <c r="G8" s="361">
        <v>9306.8617150000009</v>
      </c>
    </row>
  </sheetData>
  <mergeCells count="1">
    <mergeCell ref="A1:G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68"/>
  <sheetViews>
    <sheetView topLeftCell="B1" zoomScale="85" zoomScaleNormal="85" workbookViewId="0">
      <selection activeCell="E79" sqref="E79"/>
    </sheetView>
  </sheetViews>
  <sheetFormatPr baseColWidth="10" defaultRowHeight="15" x14ac:dyDescent="0.25"/>
  <cols>
    <col min="1" max="1" width="18.140625" customWidth="1"/>
    <col min="9" max="9" width="21.42578125" customWidth="1"/>
    <col min="14" max="14" width="24.7109375" customWidth="1"/>
  </cols>
  <sheetData>
    <row r="1" spans="1:15" ht="15" customHeight="1" x14ac:dyDescent="0.25">
      <c r="A1" s="548" t="s">
        <v>845</v>
      </c>
      <c r="B1" s="548"/>
      <c r="C1" s="548"/>
      <c r="D1" s="548"/>
      <c r="E1" s="548"/>
      <c r="F1" s="548"/>
      <c r="G1" s="548"/>
    </row>
    <row r="2" spans="1:15" ht="21" customHeight="1" x14ac:dyDescent="0.25">
      <c r="A2" s="423" t="s">
        <v>846</v>
      </c>
      <c r="B2" s="424">
        <v>2015</v>
      </c>
      <c r="C2" s="424">
        <v>2016</v>
      </c>
      <c r="D2" s="424">
        <v>2017</v>
      </c>
      <c r="E2" s="424">
        <v>2018</v>
      </c>
      <c r="F2" s="424">
        <v>2019</v>
      </c>
      <c r="G2" s="424">
        <v>2020</v>
      </c>
      <c r="I2" s="423" t="s">
        <v>846</v>
      </c>
      <c r="J2" s="424">
        <v>2015</v>
      </c>
      <c r="N2" s="423" t="s">
        <v>846</v>
      </c>
      <c r="O2" s="424">
        <v>2016</v>
      </c>
    </row>
    <row r="3" spans="1:15" x14ac:dyDescent="0.25">
      <c r="A3" s="425" t="s">
        <v>847</v>
      </c>
      <c r="B3" s="426">
        <v>1723.8168826560004</v>
      </c>
      <c r="C3" s="426">
        <v>1208.6645807059999</v>
      </c>
      <c r="D3" s="426">
        <v>332.471060669</v>
      </c>
      <c r="E3" s="426">
        <v>169.125477147</v>
      </c>
      <c r="F3" s="426"/>
      <c r="I3" s="425" t="s">
        <v>847</v>
      </c>
      <c r="J3" s="426">
        <v>1723.8168826560004</v>
      </c>
      <c r="N3" s="425" t="s">
        <v>847</v>
      </c>
      <c r="O3" s="426">
        <v>1208.6645807059999</v>
      </c>
    </row>
    <row r="4" spans="1:15" x14ac:dyDescent="0.25">
      <c r="A4" s="425" t="s">
        <v>848</v>
      </c>
      <c r="B4" s="427">
        <v>6.4053000000000005E-4</v>
      </c>
      <c r="C4" s="426"/>
      <c r="D4" s="426">
        <v>12.813389863999999</v>
      </c>
      <c r="E4" s="426"/>
      <c r="F4" s="426"/>
      <c r="I4" s="425" t="s">
        <v>848</v>
      </c>
      <c r="J4" s="427">
        <v>6.4053000000000005E-4</v>
      </c>
      <c r="N4" s="425" t="s">
        <v>849</v>
      </c>
      <c r="O4" s="426">
        <v>115.08123523600001</v>
      </c>
    </row>
    <row r="5" spans="1:15" x14ac:dyDescent="0.25">
      <c r="A5" s="425" t="s">
        <v>849</v>
      </c>
      <c r="B5" s="426"/>
      <c r="C5" s="426">
        <v>115.08123523600001</v>
      </c>
      <c r="D5" s="426"/>
      <c r="E5" s="426"/>
      <c r="F5" s="426"/>
      <c r="I5" s="425" t="s">
        <v>850</v>
      </c>
      <c r="J5" s="426">
        <v>250.88100403300001</v>
      </c>
      <c r="N5" s="425" t="s">
        <v>850</v>
      </c>
      <c r="O5" s="426">
        <v>118.586848809</v>
      </c>
    </row>
    <row r="6" spans="1:15" x14ac:dyDescent="0.25">
      <c r="A6" s="425" t="s">
        <v>850</v>
      </c>
      <c r="B6" s="426">
        <v>250.88100403300001</v>
      </c>
      <c r="C6" s="426">
        <v>118.586848809</v>
      </c>
      <c r="D6" s="426">
        <v>999.42726453900002</v>
      </c>
      <c r="E6" s="426">
        <v>347.69025274499995</v>
      </c>
      <c r="F6" s="426"/>
      <c r="I6" s="425" t="s">
        <v>851</v>
      </c>
      <c r="J6" s="426">
        <v>92.010554525999993</v>
      </c>
      <c r="N6" s="425" t="s">
        <v>852</v>
      </c>
      <c r="O6" s="426">
        <v>12.368513311000001</v>
      </c>
    </row>
    <row r="7" spans="1:15" x14ac:dyDescent="0.25">
      <c r="A7" s="425" t="s">
        <v>851</v>
      </c>
      <c r="B7" s="426">
        <v>92.010554525999993</v>
      </c>
      <c r="C7" s="426"/>
      <c r="D7" s="426">
        <v>134.741200451</v>
      </c>
      <c r="E7" s="426">
        <v>365.25615458200002</v>
      </c>
      <c r="F7" s="426">
        <v>740.83669908599995</v>
      </c>
      <c r="G7" s="426">
        <v>418.72077377900001</v>
      </c>
      <c r="N7" s="425" t="s">
        <v>853</v>
      </c>
      <c r="O7" s="426">
        <v>612.59339792200012</v>
      </c>
    </row>
    <row r="8" spans="1:15" x14ac:dyDescent="0.25">
      <c r="A8" s="425" t="s">
        <v>852</v>
      </c>
      <c r="B8" s="426"/>
      <c r="C8" s="426">
        <v>12.368513311000001</v>
      </c>
      <c r="D8" s="426"/>
      <c r="E8" s="426">
        <v>322.20955655900002</v>
      </c>
      <c r="F8" s="426"/>
      <c r="G8" s="426">
        <v>153.943521215</v>
      </c>
    </row>
    <row r="9" spans="1:15" x14ac:dyDescent="0.25">
      <c r="A9" s="425" t="s">
        <v>853</v>
      </c>
      <c r="B9" s="426"/>
      <c r="C9" s="426">
        <v>612.59339792200012</v>
      </c>
      <c r="D9" s="426">
        <v>466.98340686800009</v>
      </c>
      <c r="E9" s="426">
        <v>135.643301552</v>
      </c>
      <c r="F9" s="426"/>
      <c r="G9" s="426"/>
    </row>
    <row r="10" spans="1:15" x14ac:dyDescent="0.25">
      <c r="A10" s="425" t="s">
        <v>854</v>
      </c>
      <c r="B10" s="426"/>
      <c r="C10" s="426"/>
      <c r="D10" s="426">
        <v>1.1885390000000001E-2</v>
      </c>
      <c r="E10" s="426"/>
      <c r="F10" s="426"/>
      <c r="G10" s="426"/>
    </row>
    <row r="11" spans="1:15" x14ac:dyDescent="0.25">
      <c r="A11" s="425" t="s">
        <v>855</v>
      </c>
      <c r="B11" s="426"/>
      <c r="C11" s="426"/>
      <c r="D11" s="426"/>
      <c r="E11" s="426">
        <v>48.965543594000003</v>
      </c>
      <c r="F11" s="426">
        <v>99.481475818999996</v>
      </c>
      <c r="G11" s="426"/>
    </row>
    <row r="12" spans="1:15" ht="15.75" customHeight="1" x14ac:dyDescent="0.25">
      <c r="A12" s="425" t="s">
        <v>856</v>
      </c>
      <c r="B12" s="426"/>
      <c r="C12" s="426"/>
      <c r="D12" s="426"/>
      <c r="E12" s="426">
        <v>4.9918638000000001E-2</v>
      </c>
      <c r="F12" s="426"/>
      <c r="G12" s="426"/>
    </row>
    <row r="13" spans="1:15" ht="15.75" customHeight="1" x14ac:dyDescent="0.25">
      <c r="A13" s="425" t="s">
        <v>857</v>
      </c>
      <c r="B13" s="426"/>
      <c r="C13" s="426"/>
      <c r="D13" s="426"/>
      <c r="E13" s="426"/>
      <c r="F13" s="426">
        <v>165.44922638200001</v>
      </c>
      <c r="G13" s="426"/>
    </row>
    <row r="14" spans="1:15" ht="15.75" customHeight="1" x14ac:dyDescent="0.25">
      <c r="A14" s="425" t="s">
        <v>858</v>
      </c>
      <c r="B14" s="426"/>
      <c r="C14" s="426"/>
      <c r="D14" s="426"/>
      <c r="E14" s="426"/>
      <c r="F14" s="426"/>
      <c r="G14" s="426">
        <v>123.56968825300001</v>
      </c>
    </row>
    <row r="15" spans="1:15" x14ac:dyDescent="0.25">
      <c r="A15" s="422" t="s">
        <v>47</v>
      </c>
      <c r="B15" s="337">
        <f>+SUM(B3:B13)</f>
        <v>2066.7090817450003</v>
      </c>
      <c r="C15" s="337">
        <f t="shared" ref="C15:G15" si="0">+SUM(C3:C13)</f>
        <v>2067.2945759840004</v>
      </c>
      <c r="D15" s="337">
        <f t="shared" si="0"/>
        <v>1946.4482077810001</v>
      </c>
      <c r="E15" s="337">
        <f t="shared" si="0"/>
        <v>1388.940204817</v>
      </c>
      <c r="F15" s="337">
        <f t="shared" si="0"/>
        <v>1005.767401287</v>
      </c>
      <c r="G15" s="337">
        <f t="shared" si="0"/>
        <v>572.66429499399999</v>
      </c>
    </row>
    <row r="16" spans="1:15" x14ac:dyDescent="0.25">
      <c r="A16" s="421" t="s">
        <v>746</v>
      </c>
      <c r="B16" s="350">
        <f>+B15/365</f>
        <v>5.6622166623150694</v>
      </c>
      <c r="C16" s="350">
        <f>+C15/366</f>
        <v>5.6483458360218588</v>
      </c>
      <c r="D16" s="350">
        <f t="shared" ref="D16:F16" si="1">+D15/365</f>
        <v>5.3327348158383563</v>
      </c>
      <c r="E16" s="350">
        <f t="shared" si="1"/>
        <v>3.8053156296356163</v>
      </c>
      <c r="F16" s="350">
        <f t="shared" si="1"/>
        <v>2.7555271268136985</v>
      </c>
      <c r="G16" s="350">
        <f>+G15/3656</f>
        <v>0.15663684217560175</v>
      </c>
    </row>
    <row r="18" spans="1:19" ht="15" customHeight="1" x14ac:dyDescent="0.25">
      <c r="A18" s="548" t="s">
        <v>859</v>
      </c>
      <c r="B18" s="548"/>
      <c r="C18" s="548"/>
      <c r="D18" s="548"/>
      <c r="E18" s="548"/>
      <c r="F18" s="548"/>
      <c r="G18" s="548"/>
    </row>
    <row r="19" spans="1:19" x14ac:dyDescent="0.25">
      <c r="B19" s="344">
        <v>18774.010190476187</v>
      </c>
      <c r="C19" s="344">
        <v>13634.776880952382</v>
      </c>
      <c r="D19" s="344">
        <v>5798.1060476190469</v>
      </c>
      <c r="E19" s="344">
        <v>3783.0611428571433</v>
      </c>
      <c r="F19" s="344">
        <v>3877.482</v>
      </c>
      <c r="G19" s="332">
        <f>+'[2]30'!K17</f>
        <v>1888.8373999999999</v>
      </c>
    </row>
    <row r="20" spans="1:19" x14ac:dyDescent="0.25">
      <c r="B20" s="344">
        <v>20874.328809999999</v>
      </c>
      <c r="C20" s="344">
        <v>28075.840700000001</v>
      </c>
      <c r="D20" s="344">
        <v>35855.475489999997</v>
      </c>
      <c r="E20" s="344">
        <v>37693.524192857141</v>
      </c>
      <c r="F20" s="344">
        <v>38981.429505699998</v>
      </c>
      <c r="G20" s="332">
        <f>+'[2]30'!K18</f>
        <v>33743.887786000007</v>
      </c>
    </row>
    <row r="21" spans="1:19" x14ac:dyDescent="0.25">
      <c r="B21" s="332">
        <f>+B19+B20</f>
        <v>39648.33900047619</v>
      </c>
      <c r="C21" s="332">
        <f t="shared" ref="C21:G21" si="2">+C19+C20</f>
        <v>41710.617580952385</v>
      </c>
      <c r="D21" s="332">
        <f t="shared" si="2"/>
        <v>41653.581537619044</v>
      </c>
      <c r="E21" s="332">
        <f t="shared" si="2"/>
        <v>41476.585335714284</v>
      </c>
      <c r="F21" s="332">
        <f t="shared" si="2"/>
        <v>42858.911505700002</v>
      </c>
      <c r="G21" s="332">
        <f t="shared" si="2"/>
        <v>35632.725186000003</v>
      </c>
    </row>
    <row r="22" spans="1:19" x14ac:dyDescent="0.25">
      <c r="A22" s="423"/>
      <c r="B22" s="424">
        <v>2015</v>
      </c>
      <c r="C22" s="424">
        <v>2016</v>
      </c>
      <c r="D22" s="424">
        <v>2017</v>
      </c>
      <c r="E22" s="424">
        <v>2018</v>
      </c>
      <c r="F22" s="424">
        <v>2019</v>
      </c>
      <c r="G22" s="424">
        <v>2020</v>
      </c>
    </row>
    <row r="23" spans="1:19" x14ac:dyDescent="0.25">
      <c r="A23" s="425" t="s">
        <v>393</v>
      </c>
      <c r="B23" s="425">
        <f t="shared" ref="B23:G23" si="3">+B21*5%</f>
        <v>1982.4169500238095</v>
      </c>
      <c r="C23" s="425">
        <f t="shared" si="3"/>
        <v>2085.5308790476192</v>
      </c>
      <c r="D23" s="425">
        <f t="shared" si="3"/>
        <v>2082.6790768809524</v>
      </c>
      <c r="E23" s="425">
        <f t="shared" si="3"/>
        <v>2073.8292667857145</v>
      </c>
      <c r="F23" s="425">
        <f t="shared" si="3"/>
        <v>2142.9455752850004</v>
      </c>
      <c r="G23" s="425">
        <f t="shared" si="3"/>
        <v>1781.6362593000003</v>
      </c>
    </row>
    <row r="24" spans="1:19" x14ac:dyDescent="0.25">
      <c r="A24" s="425" t="s">
        <v>860</v>
      </c>
      <c r="B24" s="425">
        <f>+B23/365</f>
        <v>5.4312793151337244</v>
      </c>
      <c r="C24" s="425">
        <f>+C23/366</f>
        <v>5.6981718006765556</v>
      </c>
      <c r="D24" s="425">
        <f t="shared" ref="D24:F24" si="4">+D23/365</f>
        <v>5.7059700736464452</v>
      </c>
      <c r="E24" s="425">
        <f t="shared" si="4"/>
        <v>5.681724018590999</v>
      </c>
      <c r="F24" s="425">
        <f t="shared" si="4"/>
        <v>5.8710837679041106</v>
      </c>
      <c r="G24" s="425">
        <f>+G23/366</f>
        <v>4.8678586319672137</v>
      </c>
    </row>
    <row r="32" spans="1:19" ht="22.5" x14ac:dyDescent="0.25">
      <c r="I32" s="423" t="s">
        <v>846</v>
      </c>
      <c r="J32" s="424">
        <v>2017</v>
      </c>
      <c r="N32" s="423" t="s">
        <v>846</v>
      </c>
      <c r="O32" s="424">
        <v>2018</v>
      </c>
      <c r="R32" s="423" t="s">
        <v>846</v>
      </c>
      <c r="S32" s="424">
        <v>2019</v>
      </c>
    </row>
    <row r="33" spans="9:19" x14ac:dyDescent="0.25">
      <c r="I33" s="425" t="s">
        <v>847</v>
      </c>
      <c r="J33" s="426">
        <v>332.471060669</v>
      </c>
      <c r="N33" s="425" t="s">
        <v>847</v>
      </c>
      <c r="O33" s="426">
        <v>169.125477147</v>
      </c>
      <c r="R33" s="425" t="s">
        <v>851</v>
      </c>
      <c r="S33" s="426">
        <v>740.83669908599995</v>
      </c>
    </row>
    <row r="34" spans="9:19" x14ac:dyDescent="0.25">
      <c r="I34" s="425" t="s">
        <v>848</v>
      </c>
      <c r="J34" s="426">
        <v>12.813389863999999</v>
      </c>
      <c r="N34" s="425" t="s">
        <v>850</v>
      </c>
      <c r="O34" s="426">
        <v>347.69025274499995</v>
      </c>
      <c r="R34" s="425" t="s">
        <v>855</v>
      </c>
      <c r="S34" s="426">
        <v>99.481475818999996</v>
      </c>
    </row>
    <row r="35" spans="9:19" x14ac:dyDescent="0.25">
      <c r="I35" s="425" t="s">
        <v>850</v>
      </c>
      <c r="J35" s="426">
        <v>999.42726453900002</v>
      </c>
      <c r="N35" s="425" t="s">
        <v>851</v>
      </c>
      <c r="O35" s="426">
        <v>365.25615458200002</v>
      </c>
      <c r="R35" s="425" t="s">
        <v>857</v>
      </c>
      <c r="S35" s="426">
        <v>165.44922638200001</v>
      </c>
    </row>
    <row r="36" spans="9:19" x14ac:dyDescent="0.25">
      <c r="I36" s="425" t="s">
        <v>851</v>
      </c>
      <c r="J36" s="426">
        <v>134.741200451</v>
      </c>
      <c r="N36" s="425" t="s">
        <v>852</v>
      </c>
      <c r="O36" s="426">
        <v>322.20955655900002</v>
      </c>
    </row>
    <row r="37" spans="9:19" x14ac:dyDescent="0.25">
      <c r="I37" s="425" t="s">
        <v>853</v>
      </c>
      <c r="J37" s="426">
        <v>466.98340686800009</v>
      </c>
      <c r="N37" s="425" t="s">
        <v>853</v>
      </c>
      <c r="O37" s="426">
        <v>135.643301552</v>
      </c>
    </row>
    <row r="38" spans="9:19" x14ac:dyDescent="0.25">
      <c r="I38" s="425" t="s">
        <v>854</v>
      </c>
      <c r="J38" s="426">
        <v>1.1885390000000001E-2</v>
      </c>
      <c r="N38" s="425" t="s">
        <v>855</v>
      </c>
      <c r="O38" s="426">
        <v>48.965543594000003</v>
      </c>
    </row>
    <row r="39" spans="9:19" x14ac:dyDescent="0.25">
      <c r="N39" s="425" t="s">
        <v>856</v>
      </c>
      <c r="O39" s="426">
        <v>4.9918638000000001E-2</v>
      </c>
    </row>
    <row r="62" spans="9:10" x14ac:dyDescent="0.25">
      <c r="I62" s="423" t="s">
        <v>846</v>
      </c>
      <c r="J62" s="424">
        <v>2020</v>
      </c>
    </row>
    <row r="63" spans="9:10" x14ac:dyDescent="0.25">
      <c r="I63" s="425" t="s">
        <v>851</v>
      </c>
      <c r="J63" s="426">
        <v>418.72077377900001</v>
      </c>
    </row>
    <row r="64" spans="9:10" x14ac:dyDescent="0.25">
      <c r="I64" s="425" t="s">
        <v>852</v>
      </c>
      <c r="J64" s="426">
        <v>153.943521215</v>
      </c>
    </row>
    <row r="65" spans="9:10" x14ac:dyDescent="0.25">
      <c r="I65" s="425" t="s">
        <v>858</v>
      </c>
      <c r="J65" s="426">
        <v>123.56968825300001</v>
      </c>
    </row>
    <row r="66" spans="9:10" x14ac:dyDescent="0.25">
      <c r="I66" s="425"/>
      <c r="J66" s="426"/>
    </row>
    <row r="67" spans="9:10" x14ac:dyDescent="0.25">
      <c r="I67" s="425"/>
      <c r="J67" s="426"/>
    </row>
    <row r="68" spans="9:10" x14ac:dyDescent="0.25">
      <c r="I68" s="425"/>
      <c r="J68" s="426"/>
    </row>
  </sheetData>
  <mergeCells count="2">
    <mergeCell ref="A1:G1"/>
    <mergeCell ref="A18:G18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showGridLines="0" zoomScale="115" zoomScaleNormal="80" workbookViewId="0">
      <selection activeCell="I27" sqref="I27"/>
    </sheetView>
  </sheetViews>
  <sheetFormatPr baseColWidth="10" defaultRowHeight="15" x14ac:dyDescent="0.25"/>
  <sheetData>
    <row r="1" spans="1:13" x14ac:dyDescent="0.25">
      <c r="A1" t="s">
        <v>841</v>
      </c>
    </row>
    <row r="2" spans="1:13" x14ac:dyDescent="0.25">
      <c r="A2" s="549"/>
      <c r="B2" s="362" t="s">
        <v>784</v>
      </c>
      <c r="C2" s="362" t="s">
        <v>785</v>
      </c>
      <c r="D2" s="362" t="s">
        <v>786</v>
      </c>
      <c r="E2" s="362" t="s">
        <v>787</v>
      </c>
      <c r="F2" s="362" t="s">
        <v>788</v>
      </c>
      <c r="G2" s="362" t="s">
        <v>789</v>
      </c>
      <c r="H2" s="362" t="s">
        <v>790</v>
      </c>
      <c r="I2" s="362" t="s">
        <v>791</v>
      </c>
      <c r="J2" s="362" t="s">
        <v>792</v>
      </c>
      <c r="K2" s="362" t="s">
        <v>793</v>
      </c>
      <c r="L2" s="362" t="s">
        <v>794</v>
      </c>
      <c r="M2" s="362" t="s">
        <v>795</v>
      </c>
    </row>
    <row r="3" spans="1:13" x14ac:dyDescent="0.25">
      <c r="A3" s="549"/>
      <c r="B3" s="362">
        <v>20</v>
      </c>
      <c r="C3" s="362">
        <v>20</v>
      </c>
      <c r="D3" s="362">
        <v>20</v>
      </c>
      <c r="E3" s="362">
        <v>20</v>
      </c>
      <c r="F3" s="362">
        <v>20</v>
      </c>
      <c r="G3" s="362">
        <v>20</v>
      </c>
      <c r="H3" s="362">
        <v>20</v>
      </c>
      <c r="I3" s="362">
        <v>20</v>
      </c>
      <c r="J3" s="362">
        <v>20</v>
      </c>
      <c r="K3" s="362">
        <v>20</v>
      </c>
      <c r="L3" s="362">
        <v>20</v>
      </c>
      <c r="M3" s="362">
        <v>20</v>
      </c>
    </row>
    <row r="4" spans="1:13" x14ac:dyDescent="0.25">
      <c r="A4" s="341" t="s">
        <v>796</v>
      </c>
      <c r="B4" s="363">
        <v>13381</v>
      </c>
      <c r="C4" s="364">
        <v>12182</v>
      </c>
      <c r="D4" s="363">
        <v>10585</v>
      </c>
      <c r="E4" s="364">
        <v>12957</v>
      </c>
      <c r="F4" s="363">
        <v>13049</v>
      </c>
      <c r="G4" s="364">
        <v>13370</v>
      </c>
      <c r="H4" s="363">
        <v>14278</v>
      </c>
      <c r="I4" s="364">
        <v>12300</v>
      </c>
      <c r="J4" s="363">
        <v>11922</v>
      </c>
      <c r="K4" s="364">
        <v>10215</v>
      </c>
      <c r="L4" s="363">
        <v>12221</v>
      </c>
      <c r="M4" s="364">
        <v>14961</v>
      </c>
    </row>
    <row r="5" spans="1:13" x14ac:dyDescent="0.25">
      <c r="A5" s="341" t="s">
        <v>797</v>
      </c>
      <c r="B5" s="363">
        <v>32164</v>
      </c>
      <c r="C5" s="364">
        <v>31812</v>
      </c>
      <c r="D5" s="363">
        <v>26892</v>
      </c>
      <c r="E5" s="364">
        <v>21280</v>
      </c>
      <c r="F5" s="363">
        <v>26439</v>
      </c>
      <c r="G5" s="364">
        <v>32701</v>
      </c>
      <c r="H5" s="363">
        <v>33858</v>
      </c>
      <c r="I5" s="364">
        <v>35431</v>
      </c>
      <c r="J5" s="363">
        <v>35281</v>
      </c>
      <c r="K5" s="364">
        <v>36239</v>
      </c>
      <c r="L5" s="363">
        <v>34726</v>
      </c>
      <c r="M5" s="364">
        <v>33041</v>
      </c>
    </row>
    <row r="6" spans="1:13" hidden="1" x14ac:dyDescent="0.25">
      <c r="A6" s="341" t="s">
        <v>798</v>
      </c>
      <c r="B6" s="363"/>
      <c r="C6" s="364"/>
      <c r="D6" s="363"/>
      <c r="E6" s="364"/>
      <c r="F6" s="363"/>
      <c r="G6" s="364"/>
      <c r="H6" s="363"/>
      <c r="I6" s="364"/>
      <c r="J6" s="363"/>
      <c r="K6" s="364"/>
      <c r="L6" s="363"/>
      <c r="M6" s="364"/>
    </row>
    <row r="7" spans="1:13" x14ac:dyDescent="0.25">
      <c r="A7" s="365" t="s">
        <v>799</v>
      </c>
      <c r="B7" s="366">
        <f t="shared" ref="B7:M7" si="0">+B4+B5+B6</f>
        <v>45545</v>
      </c>
      <c r="C7" s="367">
        <f t="shared" si="0"/>
        <v>43994</v>
      </c>
      <c r="D7" s="366">
        <f t="shared" si="0"/>
        <v>37477</v>
      </c>
      <c r="E7" s="367">
        <f t="shared" si="0"/>
        <v>34237</v>
      </c>
      <c r="F7" s="366">
        <f t="shared" si="0"/>
        <v>39488</v>
      </c>
      <c r="G7" s="367">
        <f t="shared" si="0"/>
        <v>46071</v>
      </c>
      <c r="H7" s="366">
        <f t="shared" si="0"/>
        <v>48136</v>
      </c>
      <c r="I7" s="367">
        <f t="shared" si="0"/>
        <v>47731</v>
      </c>
      <c r="J7" s="366">
        <f t="shared" si="0"/>
        <v>47203</v>
      </c>
      <c r="K7" s="367">
        <f t="shared" si="0"/>
        <v>46454</v>
      </c>
      <c r="L7" s="366">
        <f t="shared" si="0"/>
        <v>46947</v>
      </c>
      <c r="M7" s="367">
        <f t="shared" si="0"/>
        <v>48002</v>
      </c>
    </row>
    <row r="8" spans="1:13" ht="15.95" customHeight="1" x14ac:dyDescent="0.25">
      <c r="A8" s="550" t="s">
        <v>800</v>
      </c>
      <c r="B8" s="550"/>
      <c r="C8" s="550"/>
      <c r="D8" s="550"/>
      <c r="E8" s="550"/>
    </row>
  </sheetData>
  <mergeCells count="2">
    <mergeCell ref="A2:A3"/>
    <mergeCell ref="A8:E8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showGridLines="0" zoomScale="115" zoomScaleNormal="80" workbookViewId="0">
      <selection activeCell="E16" sqref="E16"/>
    </sheetView>
  </sheetViews>
  <sheetFormatPr baseColWidth="10" defaultRowHeight="15" x14ac:dyDescent="0.25"/>
  <sheetData>
    <row r="1" spans="1:13" x14ac:dyDescent="0.25">
      <c r="A1" t="s">
        <v>842</v>
      </c>
    </row>
    <row r="2" spans="1:13" x14ac:dyDescent="0.25">
      <c r="A2" s="549"/>
      <c r="B2" s="362" t="s">
        <v>784</v>
      </c>
      <c r="C2" s="362" t="s">
        <v>785</v>
      </c>
      <c r="D2" s="362" t="s">
        <v>786</v>
      </c>
      <c r="E2" s="362" t="s">
        <v>787</v>
      </c>
      <c r="F2" s="362" t="s">
        <v>788</v>
      </c>
      <c r="G2" s="362" t="s">
        <v>789</v>
      </c>
      <c r="H2" s="362" t="s">
        <v>790</v>
      </c>
      <c r="I2" s="362" t="s">
        <v>791</v>
      </c>
      <c r="J2" s="362" t="s">
        <v>792</v>
      </c>
      <c r="K2" s="362" t="s">
        <v>793</v>
      </c>
      <c r="L2" s="362" t="s">
        <v>794</v>
      </c>
      <c r="M2" s="362" t="s">
        <v>795</v>
      </c>
    </row>
    <row r="3" spans="1:13" x14ac:dyDescent="0.25">
      <c r="A3" s="549"/>
      <c r="B3" s="362">
        <v>20</v>
      </c>
      <c r="C3" s="362">
        <v>20</v>
      </c>
      <c r="D3" s="362">
        <v>20</v>
      </c>
      <c r="E3" s="362">
        <v>20</v>
      </c>
      <c r="F3" s="362">
        <v>20</v>
      </c>
      <c r="G3" s="362">
        <v>20</v>
      </c>
      <c r="H3" s="362">
        <v>20</v>
      </c>
      <c r="I3" s="362">
        <v>20</v>
      </c>
      <c r="J3" s="362">
        <v>20</v>
      </c>
      <c r="K3" s="362">
        <v>20</v>
      </c>
      <c r="L3" s="362">
        <v>20</v>
      </c>
      <c r="M3" s="362">
        <v>20</v>
      </c>
    </row>
    <row r="4" spans="1:13" x14ac:dyDescent="0.25">
      <c r="A4" s="341" t="s">
        <v>796</v>
      </c>
      <c r="B4" s="363">
        <v>730200</v>
      </c>
      <c r="C4" s="364">
        <v>674118</v>
      </c>
      <c r="D4" s="363">
        <v>593101</v>
      </c>
      <c r="E4" s="364">
        <v>726234</v>
      </c>
      <c r="F4" s="363">
        <v>743709</v>
      </c>
      <c r="G4" s="364">
        <v>764900</v>
      </c>
      <c r="H4" s="363">
        <v>705400</v>
      </c>
      <c r="I4" s="364">
        <v>689800</v>
      </c>
      <c r="J4" s="363">
        <v>674400</v>
      </c>
      <c r="K4" s="364">
        <v>575000</v>
      </c>
      <c r="L4" s="363">
        <v>671400</v>
      </c>
      <c r="M4" s="364">
        <v>827300</v>
      </c>
    </row>
    <row r="5" spans="1:13" x14ac:dyDescent="0.25">
      <c r="A5" s="341" t="s">
        <v>797</v>
      </c>
      <c r="B5" s="363">
        <v>1510800</v>
      </c>
      <c r="C5" s="364">
        <v>1507641</v>
      </c>
      <c r="D5" s="363">
        <v>1253239</v>
      </c>
      <c r="E5" s="364">
        <v>1062334</v>
      </c>
      <c r="F5" s="363">
        <v>1293366</v>
      </c>
      <c r="G5" s="364">
        <v>1540331</v>
      </c>
      <c r="H5" s="363">
        <v>1588900</v>
      </c>
      <c r="I5" s="364">
        <v>1643400</v>
      </c>
      <c r="J5" s="363">
        <v>1636800</v>
      </c>
      <c r="K5" s="364">
        <v>1655500</v>
      </c>
      <c r="L5" s="363">
        <v>1602000</v>
      </c>
      <c r="M5" s="364">
        <v>1538500</v>
      </c>
    </row>
    <row r="6" spans="1:13" hidden="1" x14ac:dyDescent="0.25">
      <c r="A6" s="341" t="s">
        <v>798</v>
      </c>
      <c r="B6" s="363"/>
      <c r="C6" s="364"/>
      <c r="D6" s="363"/>
      <c r="E6" s="364"/>
      <c r="F6" s="363"/>
      <c r="G6" s="364"/>
      <c r="H6" s="363"/>
      <c r="I6" s="364"/>
      <c r="J6" s="363"/>
      <c r="K6" s="364"/>
      <c r="L6" s="363"/>
      <c r="M6" s="364"/>
    </row>
    <row r="7" spans="1:13" x14ac:dyDescent="0.25">
      <c r="A7" s="365" t="s">
        <v>799</v>
      </c>
      <c r="B7" s="366">
        <f t="shared" ref="B7:M7" si="0">+B4+B5+B6</f>
        <v>2241000</v>
      </c>
      <c r="C7" s="367">
        <f t="shared" si="0"/>
        <v>2181759</v>
      </c>
      <c r="D7" s="366">
        <f t="shared" si="0"/>
        <v>1846340</v>
      </c>
      <c r="E7" s="367">
        <f t="shared" si="0"/>
        <v>1788568</v>
      </c>
      <c r="F7" s="366">
        <f t="shared" si="0"/>
        <v>2037075</v>
      </c>
      <c r="G7" s="367">
        <f t="shared" si="0"/>
        <v>2305231</v>
      </c>
      <c r="H7" s="366">
        <f t="shared" si="0"/>
        <v>2294300</v>
      </c>
      <c r="I7" s="367">
        <f t="shared" si="0"/>
        <v>2333200</v>
      </c>
      <c r="J7" s="366">
        <f t="shared" si="0"/>
        <v>2311200</v>
      </c>
      <c r="K7" s="367">
        <f t="shared" si="0"/>
        <v>2230500</v>
      </c>
      <c r="L7" s="366">
        <f t="shared" si="0"/>
        <v>2273400</v>
      </c>
      <c r="M7" s="367">
        <f t="shared" si="0"/>
        <v>2365800</v>
      </c>
    </row>
    <row r="8" spans="1:13" ht="15.95" customHeight="1" x14ac:dyDescent="0.25">
      <c r="A8" s="550" t="s">
        <v>800</v>
      </c>
      <c r="B8" s="550"/>
      <c r="C8" s="550"/>
      <c r="D8" s="550"/>
      <c r="E8" s="550"/>
    </row>
  </sheetData>
  <mergeCells count="2">
    <mergeCell ref="A2:A3"/>
    <mergeCell ref="A8:E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showGridLines="0" tabSelected="1" workbookViewId="0">
      <selection activeCell="L15" sqref="L15"/>
    </sheetView>
  </sheetViews>
  <sheetFormatPr baseColWidth="10" defaultRowHeight="15" x14ac:dyDescent="0.25"/>
  <sheetData>
    <row r="1" spans="1:13" x14ac:dyDescent="0.25">
      <c r="A1" t="s">
        <v>841</v>
      </c>
    </row>
    <row r="2" spans="1:13" x14ac:dyDescent="0.25">
      <c r="A2" s="551"/>
      <c r="B2" s="362" t="s">
        <v>784</v>
      </c>
      <c r="C2" s="362" t="s">
        <v>785</v>
      </c>
      <c r="D2" s="362" t="s">
        <v>786</v>
      </c>
      <c r="E2" s="362" t="s">
        <v>787</v>
      </c>
      <c r="F2" s="362" t="s">
        <v>788</v>
      </c>
      <c r="G2" s="362" t="s">
        <v>789</v>
      </c>
      <c r="H2" s="362" t="s">
        <v>790</v>
      </c>
      <c r="I2" s="362" t="s">
        <v>791</v>
      </c>
      <c r="J2" s="362" t="s">
        <v>792</v>
      </c>
      <c r="K2" s="362" t="s">
        <v>793</v>
      </c>
      <c r="L2" s="362" t="s">
        <v>794</v>
      </c>
      <c r="M2" s="362" t="s">
        <v>795</v>
      </c>
    </row>
    <row r="3" spans="1:13" x14ac:dyDescent="0.25">
      <c r="A3" s="551"/>
      <c r="B3" s="362">
        <v>20</v>
      </c>
      <c r="C3" s="362">
        <v>20</v>
      </c>
      <c r="D3" s="362">
        <v>20</v>
      </c>
      <c r="E3" s="362">
        <v>20</v>
      </c>
      <c r="F3" s="362">
        <v>20</v>
      </c>
      <c r="G3" s="362">
        <v>20</v>
      </c>
      <c r="H3" s="362">
        <v>20</v>
      </c>
      <c r="I3" s="362">
        <v>20</v>
      </c>
      <c r="J3" s="362">
        <v>20</v>
      </c>
      <c r="K3" s="362">
        <v>20</v>
      </c>
      <c r="L3" s="362">
        <v>20</v>
      </c>
      <c r="M3" s="362">
        <v>20</v>
      </c>
    </row>
    <row r="4" spans="1:13" ht="22.5" x14ac:dyDescent="0.25">
      <c r="A4" s="303" t="s">
        <v>801</v>
      </c>
      <c r="B4" s="403">
        <v>15304.820695376508</v>
      </c>
      <c r="C4" s="404">
        <v>15308.054670380883</v>
      </c>
      <c r="D4" s="403">
        <v>9851.9637239087206</v>
      </c>
      <c r="E4" s="404">
        <v>3765.2531630560188</v>
      </c>
      <c r="F4" s="403">
        <v>6475.4832684972316</v>
      </c>
      <c r="G4" s="404">
        <v>13736.13881600005</v>
      </c>
      <c r="H4" s="403">
        <v>17925.527576039374</v>
      </c>
      <c r="I4" s="404">
        <v>19943.386965545651</v>
      </c>
      <c r="J4" s="403">
        <v>19862.478446821537</v>
      </c>
      <c r="K4" s="404">
        <v>20456.485240865804</v>
      </c>
      <c r="L4" s="403">
        <v>22544.153643352274</v>
      </c>
      <c r="M4" s="404">
        <v>17918.894378214591</v>
      </c>
    </row>
    <row r="5" spans="1:13" x14ac:dyDescent="0.25">
      <c r="A5" s="303" t="s">
        <v>802</v>
      </c>
      <c r="B5" s="403">
        <v>19648.318303826531</v>
      </c>
      <c r="C5" s="404">
        <v>18566.303775870507</v>
      </c>
      <c r="D5" s="403">
        <v>16069.942559457166</v>
      </c>
      <c r="E5" s="404">
        <v>18651.318900064289</v>
      </c>
      <c r="F5" s="403">
        <v>17969.200616503498</v>
      </c>
      <c r="G5" s="404">
        <v>9616.0173564410725</v>
      </c>
      <c r="H5" s="403">
        <v>21325.024727970365</v>
      </c>
      <c r="I5" s="404">
        <v>18139.478950002653</v>
      </c>
      <c r="J5" s="403">
        <v>17993.401141847775</v>
      </c>
      <c r="K5" s="404">
        <v>15461.211636784259</v>
      </c>
      <c r="L5" s="403">
        <v>18889.129851339942</v>
      </c>
      <c r="M5" s="404">
        <v>21623.196808122299</v>
      </c>
    </row>
    <row r="6" spans="1:13" x14ac:dyDescent="0.25">
      <c r="A6" s="303" t="s">
        <v>47</v>
      </c>
      <c r="B6" s="368">
        <f t="shared" ref="B6:M6" si="0">+B4+B5</f>
        <v>34953.138999203038</v>
      </c>
      <c r="C6" s="369">
        <f t="shared" si="0"/>
        <v>33874.35844625139</v>
      </c>
      <c r="D6" s="368">
        <f t="shared" si="0"/>
        <v>25921.906283365886</v>
      </c>
      <c r="E6" s="369">
        <f t="shared" si="0"/>
        <v>22416.572063120308</v>
      </c>
      <c r="F6" s="368">
        <f t="shared" si="0"/>
        <v>24444.68388500073</v>
      </c>
      <c r="G6" s="369">
        <f t="shared" si="0"/>
        <v>23352.156172441122</v>
      </c>
      <c r="H6" s="368">
        <f t="shared" si="0"/>
        <v>39250.55230400974</v>
      </c>
      <c r="I6" s="369">
        <f t="shared" si="0"/>
        <v>38082.865915548304</v>
      </c>
      <c r="J6" s="368">
        <f t="shared" si="0"/>
        <v>37855.879588669311</v>
      </c>
      <c r="K6" s="369">
        <f t="shared" si="0"/>
        <v>35917.696877650065</v>
      </c>
      <c r="L6" s="368">
        <f t="shared" si="0"/>
        <v>41433.283494692216</v>
      </c>
      <c r="M6" s="369">
        <f t="shared" si="0"/>
        <v>39542.091186336889</v>
      </c>
    </row>
  </sheetData>
  <mergeCells count="1">
    <mergeCell ref="A2:A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topLeftCell="A22" zoomScale="111" zoomScaleNormal="90" workbookViewId="0">
      <selection activeCell="F23" sqref="F23"/>
    </sheetView>
  </sheetViews>
  <sheetFormatPr baseColWidth="10" defaultRowHeight="15" x14ac:dyDescent="0.25"/>
  <cols>
    <col min="2" max="2" width="8.28515625" customWidth="1"/>
    <col min="3" max="5" width="8.42578125" customWidth="1"/>
    <col min="6" max="6" width="10.42578125" customWidth="1"/>
    <col min="7" max="7" width="10" customWidth="1"/>
    <col min="8" max="8" width="9.7109375" customWidth="1"/>
    <col min="9" max="9" width="11.28515625" customWidth="1"/>
    <col min="10" max="10" width="10" customWidth="1"/>
    <col min="11" max="12" width="9.7109375" customWidth="1"/>
    <col min="13" max="13" width="9.7109375" bestFit="1" customWidth="1"/>
    <col min="14" max="15" width="9.28515625" bestFit="1" customWidth="1"/>
    <col min="16" max="16" width="9.140625" bestFit="1" customWidth="1"/>
    <col min="17" max="17" width="8.85546875" bestFit="1" customWidth="1"/>
    <col min="18" max="18" width="10.42578125" bestFit="1" customWidth="1"/>
  </cols>
  <sheetData>
    <row r="1" spans="1:13" x14ac:dyDescent="0.25">
      <c r="A1" t="s">
        <v>843</v>
      </c>
    </row>
    <row r="2" spans="1:13" x14ac:dyDescent="0.25">
      <c r="A2" s="370"/>
      <c r="B2" s="371">
        <v>43831</v>
      </c>
      <c r="C2" s="371">
        <v>43862</v>
      </c>
      <c r="D2" s="371">
        <v>43891</v>
      </c>
      <c r="E2" s="371">
        <v>43922</v>
      </c>
      <c r="F2" s="371">
        <v>43952</v>
      </c>
      <c r="G2" s="371">
        <v>43983</v>
      </c>
      <c r="H2" s="371">
        <v>44013</v>
      </c>
      <c r="I2" s="371">
        <v>44044</v>
      </c>
      <c r="J2" s="371">
        <v>44075</v>
      </c>
      <c r="K2" s="371">
        <v>44105</v>
      </c>
      <c r="L2" s="371">
        <v>44136</v>
      </c>
      <c r="M2" s="371">
        <v>44166</v>
      </c>
    </row>
    <row r="3" spans="1:13" x14ac:dyDescent="0.25">
      <c r="A3" s="372" t="s">
        <v>803</v>
      </c>
      <c r="B3" s="373">
        <v>961041</v>
      </c>
      <c r="C3" s="373">
        <v>974647</v>
      </c>
      <c r="D3" s="373">
        <v>978056</v>
      </c>
      <c r="E3" s="373">
        <v>978205</v>
      </c>
      <c r="F3" s="373">
        <v>980054</v>
      </c>
      <c r="G3" s="373">
        <v>982527</v>
      </c>
      <c r="H3" s="373">
        <v>988205</v>
      </c>
      <c r="I3" s="373">
        <v>994855</v>
      </c>
      <c r="J3" s="373">
        <v>1001674</v>
      </c>
      <c r="K3" s="373">
        <v>1010021</v>
      </c>
      <c r="L3" s="373">
        <v>1023841</v>
      </c>
      <c r="M3" s="373">
        <v>1037421</v>
      </c>
    </row>
    <row r="4" spans="1:13" x14ac:dyDescent="0.25">
      <c r="A4" s="374" t="s">
        <v>804</v>
      </c>
      <c r="B4" s="375">
        <f>3208+16</f>
        <v>3224</v>
      </c>
      <c r="C4" s="375">
        <f>3216+16</f>
        <v>3232</v>
      </c>
      <c r="D4" s="375">
        <f>3231+16</f>
        <v>3247</v>
      </c>
      <c r="E4" s="375">
        <f>3236+16</f>
        <v>3252</v>
      </c>
      <c r="F4" s="375">
        <f>3193+16</f>
        <v>3209</v>
      </c>
      <c r="G4" s="375">
        <f>2786+16</f>
        <v>2802</v>
      </c>
      <c r="H4" s="375">
        <f>2214+15</f>
        <v>2229</v>
      </c>
      <c r="I4" s="375">
        <f>1970+15</f>
        <v>1985</v>
      </c>
      <c r="J4" s="375">
        <f>1975+15</f>
        <v>1990</v>
      </c>
      <c r="K4" s="375">
        <f>2116+15</f>
        <v>2131</v>
      </c>
      <c r="L4" s="375">
        <f>2375+15</f>
        <v>2390</v>
      </c>
      <c r="M4" s="375">
        <v>2585</v>
      </c>
    </row>
    <row r="5" spans="1:13" x14ac:dyDescent="0.25">
      <c r="A5" s="372" t="s">
        <v>750</v>
      </c>
      <c r="B5" s="235">
        <v>276</v>
      </c>
      <c r="C5" s="235">
        <v>277</v>
      </c>
      <c r="D5" s="235">
        <v>277</v>
      </c>
      <c r="E5" s="235">
        <v>277</v>
      </c>
      <c r="F5" s="235">
        <v>277</v>
      </c>
      <c r="G5" s="235">
        <v>277</v>
      </c>
      <c r="H5" s="235">
        <v>276</v>
      </c>
      <c r="I5" s="235">
        <v>277</v>
      </c>
      <c r="J5" s="235">
        <v>277</v>
      </c>
      <c r="K5" s="235">
        <v>277</v>
      </c>
      <c r="L5" s="235">
        <v>278</v>
      </c>
      <c r="M5" s="235">
        <v>281</v>
      </c>
    </row>
    <row r="6" spans="1:13" x14ac:dyDescent="0.25">
      <c r="A6" s="374" t="s">
        <v>805</v>
      </c>
      <c r="B6" s="376">
        <v>605</v>
      </c>
      <c r="C6" s="376">
        <v>602</v>
      </c>
      <c r="D6" s="376">
        <v>601</v>
      </c>
      <c r="E6" s="376">
        <v>604</v>
      </c>
      <c r="F6" s="376">
        <v>602</v>
      </c>
      <c r="G6" s="376">
        <v>601</v>
      </c>
      <c r="H6" s="376">
        <v>627</v>
      </c>
      <c r="I6" s="376">
        <v>600</v>
      </c>
      <c r="J6" s="376">
        <v>601</v>
      </c>
      <c r="K6" s="376">
        <v>604</v>
      </c>
      <c r="L6" s="376">
        <v>609</v>
      </c>
      <c r="M6" s="376">
        <v>612</v>
      </c>
    </row>
    <row r="7" spans="1:13" ht="23.25" x14ac:dyDescent="0.25">
      <c r="A7" s="372" t="s">
        <v>806</v>
      </c>
      <c r="B7" s="235">
        <v>24</v>
      </c>
      <c r="C7" s="235">
        <v>24</v>
      </c>
      <c r="D7" s="235">
        <v>24</v>
      </c>
      <c r="E7" s="235">
        <v>24</v>
      </c>
      <c r="F7" s="235">
        <v>24</v>
      </c>
      <c r="G7" s="235">
        <v>24</v>
      </c>
      <c r="H7" s="235">
        <v>24</v>
      </c>
      <c r="I7" s="235">
        <v>24</v>
      </c>
      <c r="J7" s="235">
        <v>24</v>
      </c>
      <c r="K7" s="235">
        <v>24</v>
      </c>
      <c r="L7" s="235">
        <v>25</v>
      </c>
      <c r="M7" s="235">
        <v>26</v>
      </c>
    </row>
    <row r="8" spans="1:13" x14ac:dyDescent="0.25">
      <c r="A8" s="224" t="s">
        <v>47</v>
      </c>
      <c r="B8" s="377">
        <f>+SUM(B3:B7)</f>
        <v>965170</v>
      </c>
      <c r="C8" s="377">
        <f t="shared" ref="C8:M8" si="0">+SUM(C3:C7)</f>
        <v>978782</v>
      </c>
      <c r="D8" s="377">
        <f t="shared" si="0"/>
        <v>982205</v>
      </c>
      <c r="E8" s="377">
        <f t="shared" si="0"/>
        <v>982362</v>
      </c>
      <c r="F8" s="377">
        <f t="shared" si="0"/>
        <v>984166</v>
      </c>
      <c r="G8" s="377">
        <f t="shared" si="0"/>
        <v>986231</v>
      </c>
      <c r="H8" s="377">
        <f t="shared" si="0"/>
        <v>991361</v>
      </c>
      <c r="I8" s="377">
        <f t="shared" si="0"/>
        <v>997741</v>
      </c>
      <c r="J8" s="377">
        <f t="shared" si="0"/>
        <v>1004566</v>
      </c>
      <c r="K8" s="377">
        <f t="shared" si="0"/>
        <v>1013057</v>
      </c>
      <c r="L8" s="377">
        <f t="shared" si="0"/>
        <v>1027143</v>
      </c>
      <c r="M8" s="377">
        <f t="shared" si="0"/>
        <v>1040925</v>
      </c>
    </row>
    <row r="9" spans="1:13" x14ac:dyDescent="0.25">
      <c r="A9" s="309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</row>
    <row r="10" spans="1:13" ht="62.45" customHeight="1" x14ac:dyDescent="0.25">
      <c r="A10" s="552" t="s">
        <v>807</v>
      </c>
      <c r="B10" s="552"/>
      <c r="C10" s="309" t="s">
        <v>841</v>
      </c>
      <c r="D10" s="309"/>
      <c r="E10" s="309"/>
      <c r="F10" s="309"/>
      <c r="G10" s="309"/>
      <c r="H10" s="309"/>
      <c r="I10" s="309"/>
      <c r="J10" s="309"/>
      <c r="K10" s="309"/>
      <c r="L10" s="309"/>
      <c r="M10" s="309"/>
    </row>
    <row r="11" spans="1:13" x14ac:dyDescent="0.25">
      <c r="A11" s="370"/>
      <c r="B11" s="371">
        <v>43831</v>
      </c>
      <c r="C11" s="371">
        <v>43862</v>
      </c>
      <c r="D11" s="371">
        <v>43891</v>
      </c>
      <c r="E11" s="371">
        <v>43922</v>
      </c>
      <c r="F11" s="371">
        <v>43952</v>
      </c>
      <c r="G11" s="371">
        <v>43983</v>
      </c>
      <c r="H11" s="371">
        <v>44013</v>
      </c>
      <c r="I11" s="371">
        <v>44044</v>
      </c>
      <c r="J11" s="371">
        <v>44075</v>
      </c>
      <c r="K11" s="371">
        <v>44105</v>
      </c>
      <c r="L11" s="371">
        <v>44136</v>
      </c>
      <c r="M11" s="371">
        <v>44166</v>
      </c>
    </row>
    <row r="12" spans="1:13" x14ac:dyDescent="0.25">
      <c r="A12" s="372" t="s">
        <v>803</v>
      </c>
      <c r="B12" s="405">
        <v>441.76853058567849</v>
      </c>
      <c r="C12" s="405">
        <v>383.355795322586</v>
      </c>
      <c r="D12" s="405">
        <v>449.17330777410325</v>
      </c>
      <c r="E12" s="405">
        <v>416.65885419013171</v>
      </c>
      <c r="F12" s="405">
        <v>537.7026724760708</v>
      </c>
      <c r="G12" s="405">
        <v>655.66613960499956</v>
      </c>
      <c r="H12" s="405">
        <v>635.63318004827738</v>
      </c>
      <c r="I12" s="405">
        <v>592.47642972208837</v>
      </c>
      <c r="J12" s="405">
        <v>578.48484555802111</v>
      </c>
      <c r="K12" s="405">
        <v>540.03338720902434</v>
      </c>
      <c r="L12" s="405">
        <v>485.07637809306402</v>
      </c>
      <c r="M12" s="405">
        <v>545.05360606205988</v>
      </c>
    </row>
    <row r="13" spans="1:13" x14ac:dyDescent="0.25">
      <c r="A13" s="374" t="s">
        <v>804</v>
      </c>
      <c r="B13" s="406">
        <v>111.83518212883028</v>
      </c>
      <c r="C13" s="406">
        <v>97.571491284839155</v>
      </c>
      <c r="D13" s="406">
        <v>113.46411243646293</v>
      </c>
      <c r="E13" s="406">
        <v>104.08505261502184</v>
      </c>
      <c r="F13" s="406">
        <v>72.719794414012682</v>
      </c>
      <c r="G13" s="406">
        <v>57.912304106026788</v>
      </c>
      <c r="H13" s="406">
        <v>70.2033262890792</v>
      </c>
      <c r="I13" s="406">
        <v>64.015907101589576</v>
      </c>
      <c r="J13" s="406">
        <v>71.39374265258806</v>
      </c>
      <c r="K13" s="406">
        <v>68.785151183887109</v>
      </c>
      <c r="L13" s="406">
        <v>72.972385258291808</v>
      </c>
      <c r="M13" s="406">
        <v>88.48251397616238</v>
      </c>
    </row>
    <row r="14" spans="1:13" x14ac:dyDescent="0.25">
      <c r="A14" s="372" t="s">
        <v>750</v>
      </c>
      <c r="B14" s="405">
        <v>1935.1596215299603</v>
      </c>
      <c r="C14" s="405">
        <v>1778.6475449574559</v>
      </c>
      <c r="D14" s="405">
        <v>1172.0733879676714</v>
      </c>
      <c r="E14" s="405">
        <v>396.20571876371957</v>
      </c>
      <c r="F14" s="405">
        <v>645.58419430633217</v>
      </c>
      <c r="G14" s="405">
        <v>996.10456160371029</v>
      </c>
      <c r="H14" s="405">
        <v>1392.6507808265528</v>
      </c>
      <c r="I14" s="405">
        <v>1406.386134837383</v>
      </c>
      <c r="J14" s="405">
        <v>1398.9172180722137</v>
      </c>
      <c r="K14" s="405">
        <v>1560.1412048919717</v>
      </c>
      <c r="L14" s="405">
        <v>1488.1273106644303</v>
      </c>
      <c r="M14" s="405">
        <v>1688.9640077774941</v>
      </c>
    </row>
    <row r="15" spans="1:13" x14ac:dyDescent="0.25">
      <c r="A15" s="374" t="s">
        <v>805</v>
      </c>
      <c r="B15" s="406">
        <v>3662.2138236599794</v>
      </c>
      <c r="C15" s="406">
        <v>3792.6006542585892</v>
      </c>
      <c r="D15" s="406">
        <v>2718.0006027352615</v>
      </c>
      <c r="E15" s="406">
        <v>1097.2844132822745</v>
      </c>
      <c r="F15" s="406">
        <v>1662.0975085556827</v>
      </c>
      <c r="G15" s="406">
        <v>2416.0789101215955</v>
      </c>
      <c r="H15" s="406">
        <v>3076.1641509777319</v>
      </c>
      <c r="I15" s="406">
        <v>3283.1098815639039</v>
      </c>
      <c r="J15" s="406">
        <v>3573.5773666885234</v>
      </c>
      <c r="K15" s="406">
        <v>3689.162059528308</v>
      </c>
      <c r="L15" s="406">
        <v>3637.2483438709419</v>
      </c>
      <c r="M15" s="406">
        <v>4380.6736417022885</v>
      </c>
    </row>
    <row r="16" spans="1:13" ht="23.25" x14ac:dyDescent="0.25">
      <c r="A16" s="372" t="s">
        <v>806</v>
      </c>
      <c r="B16" s="405">
        <v>8439.4799771802063</v>
      </c>
      <c r="C16" s="405">
        <v>7738.1211072127217</v>
      </c>
      <c r="D16" s="405">
        <v>4921.9440234022131</v>
      </c>
      <c r="E16" s="405">
        <v>1086.9935774662201</v>
      </c>
      <c r="F16" s="405">
        <v>3001.0303143399037</v>
      </c>
      <c r="G16" s="405">
        <v>8715.7306022865723</v>
      </c>
      <c r="H16" s="405">
        <v>12167.487620102231</v>
      </c>
      <c r="I16" s="405">
        <v>13997.518245112658</v>
      </c>
      <c r="J16" s="405">
        <v>13089.57452390598</v>
      </c>
      <c r="K16" s="405">
        <v>13930.660819716086</v>
      </c>
      <c r="L16" s="405">
        <v>15239.439792920701</v>
      </c>
      <c r="M16" s="405">
        <v>10476.830467333282</v>
      </c>
    </row>
    <row r="17" spans="1:22" x14ac:dyDescent="0.25">
      <c r="A17" s="224" t="s">
        <v>47</v>
      </c>
      <c r="B17" s="407">
        <f>+SUM(B12:B16)</f>
        <v>14590.457135084655</v>
      </c>
      <c r="C17" s="407">
        <f t="shared" ref="C17:L17" si="1">+SUM(C12:C16)</f>
        <v>13790.296593036193</v>
      </c>
      <c r="D17" s="407">
        <f t="shared" si="1"/>
        <v>9374.6554343157113</v>
      </c>
      <c r="E17" s="407">
        <f t="shared" si="1"/>
        <v>3101.2276163173674</v>
      </c>
      <c r="F17" s="407">
        <f t="shared" si="1"/>
        <v>5919.1344840920028</v>
      </c>
      <c r="G17" s="407">
        <f t="shared" si="1"/>
        <v>12841.492517722905</v>
      </c>
      <c r="H17" s="407">
        <f t="shared" si="1"/>
        <v>17342.139058243873</v>
      </c>
      <c r="I17" s="407">
        <f t="shared" si="1"/>
        <v>19343.506598337623</v>
      </c>
      <c r="J17" s="407">
        <f t="shared" si="1"/>
        <v>18711.947696877327</v>
      </c>
      <c r="K17" s="407">
        <f t="shared" si="1"/>
        <v>19788.782622529277</v>
      </c>
      <c r="L17" s="407">
        <f t="shared" si="1"/>
        <v>20922.864210807427</v>
      </c>
      <c r="M17" s="407">
        <f>+SUM(M12:M16)</f>
        <v>17180.004236851288</v>
      </c>
    </row>
    <row r="18" spans="1:22" x14ac:dyDescent="0.25">
      <c r="A18" s="309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</row>
    <row r="19" spans="1:22" ht="93.6" customHeight="1" x14ac:dyDescent="0.25">
      <c r="A19" s="552" t="s">
        <v>808</v>
      </c>
      <c r="B19" s="552"/>
      <c r="C19" s="552"/>
      <c r="D19" s="309"/>
      <c r="E19" s="309"/>
      <c r="F19" s="309"/>
      <c r="G19" s="309"/>
      <c r="H19" s="309"/>
      <c r="I19" s="552"/>
      <c r="J19" s="552"/>
      <c r="K19" s="309"/>
      <c r="L19" s="309"/>
      <c r="M19" s="309"/>
      <c r="N19" s="309"/>
    </row>
    <row r="20" spans="1:22" x14ac:dyDescent="0.25">
      <c r="A20" s="370"/>
      <c r="B20" s="370">
        <v>2004</v>
      </c>
      <c r="C20" s="370">
        <v>2005</v>
      </c>
      <c r="D20" s="370">
        <v>2006</v>
      </c>
      <c r="E20" s="370">
        <v>2007</v>
      </c>
      <c r="F20" s="370">
        <v>2008</v>
      </c>
      <c r="G20" s="370">
        <v>2009</v>
      </c>
      <c r="H20" s="370">
        <v>2010</v>
      </c>
      <c r="I20" s="370">
        <v>2011</v>
      </c>
      <c r="J20" s="370">
        <v>2012</v>
      </c>
      <c r="K20" s="370">
        <v>2013</v>
      </c>
      <c r="L20" s="370">
        <v>2014</v>
      </c>
      <c r="M20" s="370">
        <v>2015</v>
      </c>
      <c r="N20" s="370">
        <v>2016</v>
      </c>
      <c r="O20" s="370">
        <v>2017</v>
      </c>
      <c r="P20" s="370">
        <v>2018</v>
      </c>
      <c r="Q20" s="370">
        <v>2019</v>
      </c>
      <c r="R20" s="370">
        <v>2020</v>
      </c>
      <c r="S20" s="309"/>
    </row>
    <row r="21" spans="1:22" x14ac:dyDescent="0.25">
      <c r="A21" s="372" t="s">
        <v>803</v>
      </c>
      <c r="B21" s="381">
        <v>0</v>
      </c>
      <c r="C21" s="381">
        <v>1712</v>
      </c>
      <c r="D21" s="381">
        <v>5198</v>
      </c>
      <c r="E21" s="381">
        <v>7359</v>
      </c>
      <c r="F21" s="381">
        <v>11449</v>
      </c>
      <c r="G21" s="381">
        <v>18399</v>
      </c>
      <c r="H21" s="381">
        <v>35013</v>
      </c>
      <c r="I21" s="381">
        <v>56757</v>
      </c>
      <c r="J21" s="381">
        <v>101913</v>
      </c>
      <c r="K21" s="381">
        <v>157221</v>
      </c>
      <c r="L21" s="381">
        <v>223904</v>
      </c>
      <c r="M21" s="381">
        <v>303367</v>
      </c>
      <c r="N21" s="381">
        <v>391510</v>
      </c>
      <c r="O21" s="381">
        <v>520845</v>
      </c>
      <c r="P21" s="381">
        <v>745642</v>
      </c>
      <c r="Q21" s="381">
        <v>945986</v>
      </c>
      <c r="R21" s="381">
        <v>1037421</v>
      </c>
      <c r="S21" s="382"/>
      <c r="T21" s="383"/>
      <c r="U21" s="383"/>
      <c r="V21" s="383"/>
    </row>
    <row r="22" spans="1:22" x14ac:dyDescent="0.25">
      <c r="A22" s="374" t="s">
        <v>809</v>
      </c>
      <c r="B22" s="384">
        <v>1</v>
      </c>
      <c r="C22" s="384">
        <v>3</v>
      </c>
      <c r="D22" s="384">
        <v>49</v>
      </c>
      <c r="E22" s="384">
        <v>119</v>
      </c>
      <c r="F22" s="384">
        <v>252</v>
      </c>
      <c r="G22" s="384">
        <v>371</v>
      </c>
      <c r="H22" s="384">
        <v>421</v>
      </c>
      <c r="I22" s="384">
        <v>669</v>
      </c>
      <c r="J22" s="384">
        <v>836</v>
      </c>
      <c r="K22" s="384">
        <v>1100</v>
      </c>
      <c r="L22" s="384">
        <f>1438+13</f>
        <v>1451</v>
      </c>
      <c r="M22" s="384">
        <f>1743+13</f>
        <v>1756</v>
      </c>
      <c r="N22" s="384">
        <v>2053</v>
      </c>
      <c r="O22" s="384">
        <v>2363</v>
      </c>
      <c r="P22" s="384">
        <f>2594+17</f>
        <v>2611</v>
      </c>
      <c r="Q22" s="384">
        <f>3209+16</f>
        <v>3225</v>
      </c>
      <c r="R22" s="384">
        <v>2585</v>
      </c>
      <c r="S22" s="382"/>
      <c r="T22" s="383"/>
      <c r="U22" s="383"/>
      <c r="V22" s="383"/>
    </row>
    <row r="23" spans="1:22" x14ac:dyDescent="0.25">
      <c r="A23" s="372" t="s">
        <v>750</v>
      </c>
      <c r="B23" s="381">
        <v>0</v>
      </c>
      <c r="C23" s="381">
        <v>3</v>
      </c>
      <c r="D23" s="381">
        <v>5</v>
      </c>
      <c r="E23" s="381">
        <v>22</v>
      </c>
      <c r="F23" s="381">
        <v>60</v>
      </c>
      <c r="G23" s="381">
        <v>103</v>
      </c>
      <c r="H23" s="381">
        <v>141</v>
      </c>
      <c r="I23" s="381">
        <v>174</v>
      </c>
      <c r="J23" s="381">
        <v>197</v>
      </c>
      <c r="K23" s="381">
        <v>212</v>
      </c>
      <c r="L23" s="381">
        <v>222</v>
      </c>
      <c r="M23" s="381">
        <v>234</v>
      </c>
      <c r="N23" s="381">
        <v>240</v>
      </c>
      <c r="O23" s="381">
        <v>257</v>
      </c>
      <c r="P23" s="381">
        <v>272</v>
      </c>
      <c r="Q23" s="381">
        <v>276</v>
      </c>
      <c r="R23" s="381">
        <v>281</v>
      </c>
      <c r="S23" s="382"/>
      <c r="T23" s="383"/>
      <c r="U23" s="383"/>
      <c r="V23" s="383"/>
    </row>
    <row r="24" spans="1:22" x14ac:dyDescent="0.25">
      <c r="A24" s="374" t="s">
        <v>810</v>
      </c>
      <c r="B24" s="384">
        <v>10</v>
      </c>
      <c r="C24" s="384">
        <f>61+12</f>
        <v>73</v>
      </c>
      <c r="D24" s="384">
        <v>137</v>
      </c>
      <c r="E24" s="384">
        <v>221</v>
      </c>
      <c r="F24" s="384">
        <v>278</v>
      </c>
      <c r="G24" s="384">
        <v>326</v>
      </c>
      <c r="H24" s="384">
        <v>378</v>
      </c>
      <c r="I24" s="384">
        <v>388</v>
      </c>
      <c r="J24" s="384">
        <v>419</v>
      </c>
      <c r="K24" s="384">
        <v>456</v>
      </c>
      <c r="L24" s="384">
        <v>469</v>
      </c>
      <c r="M24" s="384">
        <v>480</v>
      </c>
      <c r="N24" s="384">
        <v>516</v>
      </c>
      <c r="O24" s="384">
        <v>541</v>
      </c>
      <c r="P24" s="384">
        <v>556</v>
      </c>
      <c r="Q24" s="384">
        <v>599</v>
      </c>
      <c r="R24" s="384">
        <v>612</v>
      </c>
      <c r="S24" s="382"/>
      <c r="T24" s="383"/>
      <c r="U24" s="383"/>
      <c r="V24" s="383"/>
    </row>
    <row r="25" spans="1:22" ht="23.25" x14ac:dyDescent="0.25">
      <c r="A25" s="372" t="s">
        <v>806</v>
      </c>
      <c r="B25" s="381">
        <v>0</v>
      </c>
      <c r="C25" s="381">
        <v>0</v>
      </c>
      <c r="D25" s="381">
        <v>0</v>
      </c>
      <c r="E25" s="381">
        <v>0</v>
      </c>
      <c r="F25" s="381">
        <v>0</v>
      </c>
      <c r="G25" s="381">
        <v>0</v>
      </c>
      <c r="H25" s="381">
        <v>10</v>
      </c>
      <c r="I25" s="381">
        <v>10</v>
      </c>
      <c r="J25" s="381">
        <v>10</v>
      </c>
      <c r="K25" s="381">
        <v>16</v>
      </c>
      <c r="L25" s="381">
        <v>19</v>
      </c>
      <c r="M25" s="381">
        <v>18</v>
      </c>
      <c r="N25" s="381">
        <v>19</v>
      </c>
      <c r="O25" s="381">
        <v>22</v>
      </c>
      <c r="P25" s="381">
        <v>22</v>
      </c>
      <c r="Q25" s="381">
        <v>24</v>
      </c>
      <c r="R25" s="381">
        <v>26</v>
      </c>
      <c r="S25" s="382"/>
      <c r="T25" s="383"/>
      <c r="U25" s="383"/>
      <c r="V25" s="383"/>
    </row>
    <row r="26" spans="1:22" x14ac:dyDescent="0.25">
      <c r="A26" s="224" t="s">
        <v>47</v>
      </c>
      <c r="B26" s="385">
        <f>+SUM(B21:B25)</f>
        <v>11</v>
      </c>
      <c r="C26" s="385">
        <f t="shared" ref="C26:R26" si="2">+SUM(C21:C25)</f>
        <v>1791</v>
      </c>
      <c r="D26" s="385">
        <f t="shared" si="2"/>
        <v>5389</v>
      </c>
      <c r="E26" s="385">
        <f t="shared" si="2"/>
        <v>7721</v>
      </c>
      <c r="F26" s="385">
        <f t="shared" si="2"/>
        <v>12039</v>
      </c>
      <c r="G26" s="385">
        <f t="shared" si="2"/>
        <v>19199</v>
      </c>
      <c r="H26" s="385">
        <f t="shared" si="2"/>
        <v>35963</v>
      </c>
      <c r="I26" s="385">
        <f t="shared" si="2"/>
        <v>57998</v>
      </c>
      <c r="J26" s="385">
        <f t="shared" si="2"/>
        <v>103375</v>
      </c>
      <c r="K26" s="385">
        <f t="shared" si="2"/>
        <v>159005</v>
      </c>
      <c r="L26" s="385">
        <f t="shared" si="2"/>
        <v>226065</v>
      </c>
      <c r="M26" s="385">
        <f t="shared" si="2"/>
        <v>305855</v>
      </c>
      <c r="N26" s="385">
        <f t="shared" si="2"/>
        <v>394338</v>
      </c>
      <c r="O26" s="385">
        <f t="shared" si="2"/>
        <v>524028</v>
      </c>
      <c r="P26" s="385">
        <f t="shared" si="2"/>
        <v>749103</v>
      </c>
      <c r="Q26" s="385">
        <f t="shared" si="2"/>
        <v>950110</v>
      </c>
      <c r="R26" s="385">
        <f t="shared" si="2"/>
        <v>1040925</v>
      </c>
      <c r="S26" s="309"/>
    </row>
    <row r="27" spans="1:22" ht="10.5" customHeight="1" x14ac:dyDescent="0.25">
      <c r="A27" s="386" t="s">
        <v>811</v>
      </c>
      <c r="B27" s="5"/>
      <c r="C27" s="5"/>
      <c r="D27" s="5"/>
      <c r="E27" s="5"/>
      <c r="F27" s="5"/>
      <c r="G27" s="5"/>
      <c r="H27" s="139"/>
      <c r="I27" s="139"/>
      <c r="J27" s="139"/>
      <c r="K27" s="139"/>
      <c r="L27" s="139"/>
      <c r="M27" s="139"/>
      <c r="N27" s="139"/>
    </row>
    <row r="28" spans="1:22" ht="10.5" customHeight="1" x14ac:dyDescent="0.25">
      <c r="A28" s="386" t="s">
        <v>812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</row>
    <row r="30" spans="1:22" x14ac:dyDescent="0.25">
      <c r="A30" s="552" t="s">
        <v>813</v>
      </c>
      <c r="B30" s="552"/>
      <c r="C30" s="309" t="s">
        <v>841</v>
      </c>
      <c r="D30" s="309"/>
      <c r="E30" s="309"/>
      <c r="F30" s="309"/>
    </row>
    <row r="31" spans="1:22" x14ac:dyDescent="0.25">
      <c r="A31" s="370"/>
      <c r="B31" s="370">
        <v>2004</v>
      </c>
      <c r="C31" s="370">
        <v>2005</v>
      </c>
      <c r="D31" s="370">
        <v>2006</v>
      </c>
      <c r="E31" s="370">
        <v>2007</v>
      </c>
      <c r="F31" s="370">
        <v>2008</v>
      </c>
      <c r="G31" s="370">
        <v>2009</v>
      </c>
      <c r="H31" s="370">
        <v>2010</v>
      </c>
      <c r="I31" s="370">
        <v>2011</v>
      </c>
      <c r="J31" s="370">
        <v>2012</v>
      </c>
      <c r="K31" s="370">
        <v>2013</v>
      </c>
      <c r="L31" s="370">
        <v>2014</v>
      </c>
      <c r="M31" s="370">
        <v>2015</v>
      </c>
      <c r="N31" s="370">
        <v>2016</v>
      </c>
      <c r="O31" s="370">
        <v>2017</v>
      </c>
      <c r="P31" s="370">
        <v>2018</v>
      </c>
      <c r="Q31" s="370">
        <v>2019</v>
      </c>
      <c r="R31" s="370">
        <v>2020</v>
      </c>
    </row>
    <row r="32" spans="1:22" x14ac:dyDescent="0.25">
      <c r="A32" s="372" t="s">
        <v>803</v>
      </c>
      <c r="B32" s="429">
        <v>0</v>
      </c>
      <c r="C32" s="428">
        <v>2.8945669265500005</v>
      </c>
      <c r="D32" s="428">
        <v>25.96881915785</v>
      </c>
      <c r="E32" s="428">
        <v>55.67551800094158</v>
      </c>
      <c r="F32" s="428">
        <v>87.255675661302632</v>
      </c>
      <c r="G32" s="428">
        <v>128.16309642981446</v>
      </c>
      <c r="H32" s="428">
        <v>219.95950825792397</v>
      </c>
      <c r="I32" s="428">
        <v>370.03002586506511</v>
      </c>
      <c r="J32" s="428">
        <v>626.74277334323904</v>
      </c>
      <c r="K32" s="428">
        <v>906.77308860131234</v>
      </c>
      <c r="L32" s="428">
        <v>1450.5679917775776</v>
      </c>
      <c r="M32" s="428">
        <v>1990.6782955970243</v>
      </c>
      <c r="N32" s="428">
        <v>2584.7061810461701</v>
      </c>
      <c r="O32" s="428">
        <v>3283.6326120396025</v>
      </c>
      <c r="P32" s="428">
        <v>4048.1164839329313</v>
      </c>
      <c r="Q32" s="428">
        <v>5078.9022051763322</v>
      </c>
      <c r="R32" s="428">
        <v>6261.0831266461046</v>
      </c>
    </row>
    <row r="33" spans="1:18" x14ac:dyDescent="0.25">
      <c r="A33" s="374" t="s">
        <v>809</v>
      </c>
      <c r="B33" s="430">
        <v>0.51894907565000004</v>
      </c>
      <c r="C33" s="431">
        <v>4.2594789220500004</v>
      </c>
      <c r="D33" s="431">
        <v>60.077563806690002</v>
      </c>
      <c r="E33" s="431">
        <v>148.00990211884942</v>
      </c>
      <c r="F33" s="431">
        <v>107.62193353419886</v>
      </c>
      <c r="G33" s="431">
        <v>172.77341470914823</v>
      </c>
      <c r="H33" s="431">
        <v>233.37101061794209</v>
      </c>
      <c r="I33" s="431">
        <v>299.34825389199875</v>
      </c>
      <c r="J33" s="431">
        <v>377.91920603951348</v>
      </c>
      <c r="K33" s="431">
        <v>448.4903549589809</v>
      </c>
      <c r="L33" s="431">
        <v>543.5214724347054</v>
      </c>
      <c r="M33" s="431">
        <v>668.26322218646033</v>
      </c>
      <c r="N33" s="431">
        <v>762.77175968699248</v>
      </c>
      <c r="O33" s="431">
        <v>886.74431268022386</v>
      </c>
      <c r="P33" s="431">
        <v>1074.7623354785032</v>
      </c>
      <c r="Q33" s="431">
        <v>1239.8572292824053</v>
      </c>
      <c r="R33" s="431">
        <v>993.44096344679178</v>
      </c>
    </row>
    <row r="34" spans="1:18" x14ac:dyDescent="0.25">
      <c r="A34" s="372" t="s">
        <v>750</v>
      </c>
      <c r="B34" s="429">
        <v>0</v>
      </c>
      <c r="C34" s="428">
        <v>1.12321839402</v>
      </c>
      <c r="D34" s="428">
        <v>282.88088921297998</v>
      </c>
      <c r="E34" s="428">
        <v>1888.2809192857203</v>
      </c>
      <c r="F34" s="428">
        <v>5466.5127053516899</v>
      </c>
      <c r="G34" s="428">
        <v>9228.7118083353616</v>
      </c>
      <c r="H34" s="428">
        <v>12307.765910826365</v>
      </c>
      <c r="I34" s="428">
        <v>14878.816316127637</v>
      </c>
      <c r="J34" s="428">
        <v>18286.94800006468</v>
      </c>
      <c r="K34" s="428">
        <v>21363.158349048837</v>
      </c>
      <c r="L34" s="428">
        <v>23047.495216959487</v>
      </c>
      <c r="M34" s="428">
        <v>23007.02961051471</v>
      </c>
      <c r="N34" s="428">
        <v>23106.744380533073</v>
      </c>
      <c r="O34" s="428">
        <v>23777.79060963248</v>
      </c>
      <c r="P34" s="428">
        <v>23468.626704354498</v>
      </c>
      <c r="Q34" s="428">
        <v>23296.238828282534</v>
      </c>
      <c r="R34" s="428">
        <v>15858.961686198896</v>
      </c>
    </row>
    <row r="35" spans="1:18" x14ac:dyDescent="0.25">
      <c r="A35" s="374" t="s">
        <v>810</v>
      </c>
      <c r="B35" s="430">
        <v>0</v>
      </c>
      <c r="C35" s="431">
        <v>1598.1110415728701</v>
      </c>
      <c r="D35" s="431">
        <v>6213.3029453771005</v>
      </c>
      <c r="E35" s="431">
        <v>9763.4308020134977</v>
      </c>
      <c r="F35" s="431">
        <v>11606.511027146573</v>
      </c>
      <c r="G35" s="431">
        <v>13015.833504698001</v>
      </c>
      <c r="H35" s="431">
        <v>26398.747036968329</v>
      </c>
      <c r="I35" s="431">
        <v>31696.559252360137</v>
      </c>
      <c r="J35" s="431">
        <v>32904.155767497832</v>
      </c>
      <c r="K35" s="431">
        <v>34673.613643054079</v>
      </c>
      <c r="L35" s="431">
        <v>39114.550892407337</v>
      </c>
      <c r="M35" s="431">
        <v>39119.748529447519</v>
      </c>
      <c r="N35" s="431">
        <v>39413.798534025373</v>
      </c>
      <c r="O35" s="431">
        <v>44876.747083837174</v>
      </c>
      <c r="P35" s="431">
        <v>48629.322260936053</v>
      </c>
      <c r="Q35" s="431">
        <v>46933.617078993731</v>
      </c>
      <c r="R35" s="431">
        <v>36988.211356945081</v>
      </c>
    </row>
    <row r="36" spans="1:18" ht="23.25" x14ac:dyDescent="0.25">
      <c r="A36" s="372" t="s">
        <v>806</v>
      </c>
      <c r="B36" s="429">
        <v>0</v>
      </c>
      <c r="C36" s="428">
        <v>0</v>
      </c>
      <c r="D36" s="428">
        <v>0</v>
      </c>
      <c r="E36" s="428">
        <v>0</v>
      </c>
      <c r="F36" s="428">
        <v>0</v>
      </c>
      <c r="G36" s="428">
        <v>0</v>
      </c>
      <c r="H36" s="428">
        <v>48542.589139855758</v>
      </c>
      <c r="I36" s="428">
        <v>107749.0789893216</v>
      </c>
      <c r="J36" s="428">
        <v>115158.8799689108</v>
      </c>
      <c r="K36" s="428">
        <v>114120.98779365286</v>
      </c>
      <c r="L36" s="428">
        <v>129794.30578243843</v>
      </c>
      <c r="M36" s="428">
        <v>131377.75310797061</v>
      </c>
      <c r="N36" s="428">
        <v>147042.75520221185</v>
      </c>
      <c r="O36" s="428">
        <v>121715.51925361897</v>
      </c>
      <c r="P36" s="428">
        <v>125465.99486186777</v>
      </c>
      <c r="Q36" s="428">
        <v>139304.85309498219</v>
      </c>
      <c r="R36" s="428">
        <v>112804.81107097879</v>
      </c>
    </row>
    <row r="37" spans="1:18" x14ac:dyDescent="0.25">
      <c r="A37" s="224" t="s">
        <v>47</v>
      </c>
      <c r="B37" s="387">
        <f t="shared" ref="B37:Q37" si="3">+SUM(B32:B36)</f>
        <v>0.51894907565000004</v>
      </c>
      <c r="C37" s="387">
        <f t="shared" si="3"/>
        <v>1606.3883058154902</v>
      </c>
      <c r="D37" s="387">
        <f t="shared" si="3"/>
        <v>6582.2302175546201</v>
      </c>
      <c r="E37" s="387">
        <f t="shared" si="3"/>
        <v>11855.397141419009</v>
      </c>
      <c r="F37" s="387">
        <f t="shared" si="3"/>
        <v>17267.901341693763</v>
      </c>
      <c r="G37" s="387">
        <f t="shared" si="3"/>
        <v>22545.481824172326</v>
      </c>
      <c r="H37" s="387">
        <f t="shared" si="3"/>
        <v>87702.432606526316</v>
      </c>
      <c r="I37" s="387">
        <f t="shared" si="3"/>
        <v>154993.83283756644</v>
      </c>
      <c r="J37" s="387">
        <f t="shared" si="3"/>
        <v>167354.64571585605</v>
      </c>
      <c r="K37" s="387">
        <f t="shared" si="3"/>
        <v>171513.02322931608</v>
      </c>
      <c r="L37" s="387">
        <f t="shared" si="3"/>
        <v>193950.44135601755</v>
      </c>
      <c r="M37" s="387">
        <f t="shared" si="3"/>
        <v>196163.47276571632</v>
      </c>
      <c r="N37" s="387">
        <f t="shared" si="3"/>
        <v>212910.77605750345</v>
      </c>
      <c r="O37" s="387">
        <f t="shared" si="3"/>
        <v>194540.43387180846</v>
      </c>
      <c r="P37" s="387">
        <f t="shared" si="3"/>
        <v>202686.82264656975</v>
      </c>
      <c r="Q37" s="387">
        <f t="shared" si="3"/>
        <v>215853.46843671717</v>
      </c>
      <c r="R37" s="387">
        <f>+SUM(R32:R36)</f>
        <v>172906.50820421567</v>
      </c>
    </row>
    <row r="38" spans="1:18" ht="10.5" customHeight="1" x14ac:dyDescent="0.25">
      <c r="A38" s="386" t="s">
        <v>811</v>
      </c>
    </row>
    <row r="39" spans="1:18" ht="10.5" customHeight="1" x14ac:dyDescent="0.25">
      <c r="A39" s="386" t="s">
        <v>812</v>
      </c>
    </row>
  </sheetData>
  <mergeCells count="4">
    <mergeCell ref="A10:B10"/>
    <mergeCell ref="A19:C19"/>
    <mergeCell ref="I19:J19"/>
    <mergeCell ref="A30:B30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topLeftCell="A40" zoomScale="108" zoomScaleNormal="85" workbookViewId="0">
      <selection activeCell="D14" sqref="D14"/>
    </sheetView>
  </sheetViews>
  <sheetFormatPr baseColWidth="10" defaultRowHeight="15" x14ac:dyDescent="0.25"/>
  <cols>
    <col min="2" max="2" width="16" customWidth="1"/>
    <col min="3" max="3" width="15.7109375" customWidth="1"/>
    <col min="4" max="4" width="15.85546875" customWidth="1"/>
    <col min="5" max="5" width="15.42578125" bestFit="1" customWidth="1"/>
    <col min="6" max="6" width="16.42578125" bestFit="1" customWidth="1"/>
    <col min="7" max="7" width="15.42578125" bestFit="1" customWidth="1"/>
    <col min="8" max="8" width="15.140625" bestFit="1" customWidth="1"/>
    <col min="9" max="9" width="16.28515625" bestFit="1" customWidth="1"/>
    <col min="10" max="10" width="15.7109375" bestFit="1" customWidth="1"/>
    <col min="11" max="11" width="15.85546875" bestFit="1" customWidth="1"/>
    <col min="12" max="12" width="16.28515625" bestFit="1" customWidth="1"/>
    <col min="13" max="13" width="16.42578125" bestFit="1" customWidth="1"/>
  </cols>
  <sheetData>
    <row r="1" spans="1:13" x14ac:dyDescent="0.25">
      <c r="A1" t="s">
        <v>843</v>
      </c>
    </row>
    <row r="2" spans="1:13" x14ac:dyDescent="0.25">
      <c r="A2" s="263"/>
      <c r="B2" s="371">
        <v>43831</v>
      </c>
      <c r="C2" s="371">
        <v>43862</v>
      </c>
      <c r="D2" s="371">
        <v>43891</v>
      </c>
      <c r="E2" s="371">
        <v>43922</v>
      </c>
      <c r="F2" s="371">
        <v>43952</v>
      </c>
      <c r="G2" s="371">
        <v>43983</v>
      </c>
      <c r="H2" s="371">
        <v>44013</v>
      </c>
      <c r="I2" s="371">
        <v>44044</v>
      </c>
      <c r="J2" s="371">
        <v>44075</v>
      </c>
      <c r="K2" s="371">
        <v>44105</v>
      </c>
      <c r="L2" s="371">
        <v>44136</v>
      </c>
      <c r="M2" s="371">
        <v>44166</v>
      </c>
    </row>
    <row r="3" spans="1:13" x14ac:dyDescent="0.25">
      <c r="A3" s="372" t="s">
        <v>803</v>
      </c>
      <c r="B3" s="373">
        <v>61399</v>
      </c>
      <c r="C3" s="373">
        <v>61572</v>
      </c>
      <c r="D3" s="373">
        <v>61680</v>
      </c>
      <c r="E3" s="373">
        <v>61680</v>
      </c>
      <c r="F3" s="373">
        <v>61680</v>
      </c>
      <c r="G3" s="373">
        <v>61680</v>
      </c>
      <c r="H3" s="373">
        <v>61680</v>
      </c>
      <c r="I3" s="373">
        <v>61685</v>
      </c>
      <c r="J3" s="373">
        <v>61724</v>
      </c>
      <c r="K3" s="373">
        <v>61724</v>
      </c>
      <c r="L3" s="373">
        <v>62009</v>
      </c>
      <c r="M3" s="373">
        <v>62520</v>
      </c>
    </row>
    <row r="4" spans="1:13" x14ac:dyDescent="0.25">
      <c r="A4" s="374" t="s">
        <v>804</v>
      </c>
      <c r="B4" s="376">
        <v>159</v>
      </c>
      <c r="C4" s="376">
        <v>159</v>
      </c>
      <c r="D4" s="376">
        <v>159</v>
      </c>
      <c r="E4" s="376">
        <v>159</v>
      </c>
      <c r="F4" s="376">
        <v>159</v>
      </c>
      <c r="G4" s="376">
        <v>159</v>
      </c>
      <c r="H4" s="376">
        <v>159</v>
      </c>
      <c r="I4" s="376">
        <v>159</v>
      </c>
      <c r="J4" s="376">
        <v>160</v>
      </c>
      <c r="K4" s="376">
        <v>160</v>
      </c>
      <c r="L4" s="376">
        <v>160</v>
      </c>
      <c r="M4" s="376">
        <v>162</v>
      </c>
    </row>
    <row r="5" spans="1:13" x14ac:dyDescent="0.25">
      <c r="A5" s="372" t="s">
        <v>750</v>
      </c>
      <c r="B5" s="235">
        <v>29</v>
      </c>
      <c r="C5" s="235">
        <v>29</v>
      </c>
      <c r="D5" s="235">
        <v>29</v>
      </c>
      <c r="E5" s="235">
        <v>29</v>
      </c>
      <c r="F5" s="235">
        <v>30</v>
      </c>
      <c r="G5" s="235">
        <v>30</v>
      </c>
      <c r="H5" s="235">
        <v>30</v>
      </c>
      <c r="I5" s="235">
        <v>30</v>
      </c>
      <c r="J5" s="235">
        <v>30</v>
      </c>
      <c r="K5" s="235">
        <v>30</v>
      </c>
      <c r="L5" s="235">
        <v>30</v>
      </c>
      <c r="M5" s="235">
        <v>30</v>
      </c>
    </row>
    <row r="6" spans="1:13" x14ac:dyDescent="0.25">
      <c r="A6" s="374" t="s">
        <v>805</v>
      </c>
      <c r="B6" s="376">
        <v>15</v>
      </c>
      <c r="C6" s="376">
        <v>15</v>
      </c>
      <c r="D6" s="376">
        <v>15</v>
      </c>
      <c r="E6" s="376">
        <v>15</v>
      </c>
      <c r="F6" s="376">
        <v>15</v>
      </c>
      <c r="G6" s="376">
        <v>15</v>
      </c>
      <c r="H6" s="376">
        <v>15</v>
      </c>
      <c r="I6" s="376">
        <v>15</v>
      </c>
      <c r="J6" s="376">
        <v>15</v>
      </c>
      <c r="K6" s="376">
        <v>15</v>
      </c>
      <c r="L6" s="376">
        <v>15</v>
      </c>
      <c r="M6" s="376">
        <v>15</v>
      </c>
    </row>
    <row r="7" spans="1:13" ht="23.25" x14ac:dyDescent="0.25">
      <c r="A7" s="372" t="s">
        <v>806</v>
      </c>
      <c r="B7" s="235">
        <v>8</v>
      </c>
      <c r="C7" s="235">
        <v>8</v>
      </c>
      <c r="D7" s="235">
        <v>8</v>
      </c>
      <c r="E7" s="235">
        <v>8</v>
      </c>
      <c r="F7" s="235">
        <v>8</v>
      </c>
      <c r="G7" s="235">
        <v>8</v>
      </c>
      <c r="H7" s="235">
        <v>8</v>
      </c>
      <c r="I7" s="235">
        <v>8</v>
      </c>
      <c r="J7" s="235">
        <v>8</v>
      </c>
      <c r="K7" s="235">
        <v>8</v>
      </c>
      <c r="L7" s="235">
        <v>8</v>
      </c>
      <c r="M7" s="235">
        <v>8</v>
      </c>
    </row>
    <row r="8" spans="1:13" x14ac:dyDescent="0.25">
      <c r="A8" s="224" t="s">
        <v>47</v>
      </c>
      <c r="B8" s="377">
        <f>+SUM(B3:B7)</f>
        <v>61610</v>
      </c>
      <c r="C8" s="377">
        <f t="shared" ref="C8:M8" si="0">+SUM(C3:C7)</f>
        <v>61783</v>
      </c>
      <c r="D8" s="377">
        <f t="shared" si="0"/>
        <v>61891</v>
      </c>
      <c r="E8" s="377">
        <f t="shared" si="0"/>
        <v>61891</v>
      </c>
      <c r="F8" s="377">
        <f t="shared" si="0"/>
        <v>61892</v>
      </c>
      <c r="G8" s="377">
        <f t="shared" si="0"/>
        <v>61892</v>
      </c>
      <c r="H8" s="377">
        <f t="shared" si="0"/>
        <v>61892</v>
      </c>
      <c r="I8" s="377">
        <f t="shared" si="0"/>
        <v>61897</v>
      </c>
      <c r="J8" s="377">
        <f t="shared" si="0"/>
        <v>61937</v>
      </c>
      <c r="K8" s="377">
        <f t="shared" si="0"/>
        <v>61937</v>
      </c>
      <c r="L8" s="377">
        <f t="shared" si="0"/>
        <v>62222</v>
      </c>
      <c r="M8" s="377">
        <f t="shared" si="0"/>
        <v>62735</v>
      </c>
    </row>
    <row r="9" spans="1:13" x14ac:dyDescent="0.25">
      <c r="A9" s="553"/>
      <c r="B9" s="553"/>
      <c r="C9" s="553"/>
      <c r="D9" s="382"/>
      <c r="E9" s="382"/>
      <c r="F9" s="382"/>
      <c r="G9" s="382"/>
      <c r="H9" s="382"/>
      <c r="I9" s="382"/>
      <c r="J9" s="382"/>
      <c r="K9" s="382"/>
      <c r="L9" s="382"/>
      <c r="M9" s="382"/>
    </row>
    <row r="10" spans="1:13" ht="62.45" customHeight="1" x14ac:dyDescent="0.25">
      <c r="A10" s="554" t="s">
        <v>814</v>
      </c>
      <c r="B10" s="554"/>
      <c r="C10" s="309" t="s">
        <v>841</v>
      </c>
      <c r="D10" s="309"/>
      <c r="E10" s="309"/>
      <c r="F10" s="309"/>
      <c r="G10" s="309"/>
      <c r="H10" s="309"/>
      <c r="I10" s="309"/>
      <c r="J10" s="309"/>
      <c r="K10" s="309"/>
      <c r="L10" s="309"/>
      <c r="M10" s="309"/>
    </row>
    <row r="11" spans="1:13" x14ac:dyDescent="0.25">
      <c r="A11" s="370"/>
      <c r="B11" s="371">
        <v>43831</v>
      </c>
      <c r="C11" s="371">
        <v>43862</v>
      </c>
      <c r="D11" s="371">
        <v>43891</v>
      </c>
      <c r="E11" s="371">
        <v>43922</v>
      </c>
      <c r="F11" s="371">
        <v>43952</v>
      </c>
      <c r="G11" s="371">
        <v>43983</v>
      </c>
      <c r="H11" s="371">
        <v>44013</v>
      </c>
      <c r="I11" s="371">
        <v>44044</v>
      </c>
      <c r="J11" s="371">
        <v>44075</v>
      </c>
      <c r="K11" s="371">
        <v>44105</v>
      </c>
      <c r="L11" s="371">
        <v>44136</v>
      </c>
      <c r="M11" s="371">
        <v>44166</v>
      </c>
    </row>
    <row r="12" spans="1:13" x14ac:dyDescent="0.25">
      <c r="A12" s="372" t="s">
        <v>803</v>
      </c>
      <c r="B12" s="405">
        <v>28.312737148371205</v>
      </c>
      <c r="C12" s="405">
        <v>25.523079511990201</v>
      </c>
      <c r="D12" s="405">
        <v>27.687125762333405</v>
      </c>
      <c r="E12" s="405">
        <v>27.500399444708393</v>
      </c>
      <c r="F12" s="405">
        <v>25.558083412894199</v>
      </c>
      <c r="G12" s="405">
        <v>25.497033883425093</v>
      </c>
      <c r="H12" s="405">
        <v>27.388567419779303</v>
      </c>
      <c r="I12" s="405">
        <v>56.647448143856494</v>
      </c>
      <c r="J12" s="405">
        <v>37.158673522001202</v>
      </c>
      <c r="K12" s="405">
        <v>30.190119390162998</v>
      </c>
      <c r="L12" s="405">
        <v>28.855256647365998</v>
      </c>
      <c r="M12" s="405">
        <v>28.387931262615403</v>
      </c>
    </row>
    <row r="13" spans="1:13" x14ac:dyDescent="0.25">
      <c r="A13" s="374" t="s">
        <v>804</v>
      </c>
      <c r="B13" s="406">
        <v>4.8496446206620991</v>
      </c>
      <c r="C13" s="406">
        <v>4.9143675821045996</v>
      </c>
      <c r="D13" s="406">
        <v>5.2464473157161002</v>
      </c>
      <c r="E13" s="406">
        <v>4.8816538375500995</v>
      </c>
      <c r="F13" s="406">
        <v>4.4677231743993993</v>
      </c>
      <c r="G13" s="406">
        <v>4.614074229813399</v>
      </c>
      <c r="H13" s="406">
        <v>5.0882859752139993</v>
      </c>
      <c r="I13" s="406">
        <v>5.3406513168213001</v>
      </c>
      <c r="J13" s="406">
        <v>4.8409003552234005</v>
      </c>
      <c r="K13" s="406">
        <v>4.7549635183651997</v>
      </c>
      <c r="L13" s="406">
        <v>4.8905397148155005</v>
      </c>
      <c r="M13" s="406">
        <v>4.9017090386430997</v>
      </c>
    </row>
    <row r="14" spans="1:13" x14ac:dyDescent="0.25">
      <c r="A14" s="372" t="s">
        <v>750</v>
      </c>
      <c r="B14" s="405">
        <v>79.626846937270003</v>
      </c>
      <c r="C14" s="405">
        <v>79.792472739570002</v>
      </c>
      <c r="D14" s="405">
        <v>75.435490013649996</v>
      </c>
      <c r="E14" s="405">
        <v>50.690677317999999</v>
      </c>
      <c r="F14" s="405">
        <v>28.32247128401</v>
      </c>
      <c r="G14" s="405">
        <v>35.449642668739997</v>
      </c>
      <c r="H14" s="405">
        <v>46.037863601489995</v>
      </c>
      <c r="I14" s="405">
        <v>56.684918774459994</v>
      </c>
      <c r="J14" s="405">
        <v>66.726080154240009</v>
      </c>
      <c r="K14" s="405">
        <v>75.189240819740007</v>
      </c>
      <c r="L14" s="405">
        <v>78.996691965790006</v>
      </c>
      <c r="M14" s="405">
        <v>73.660539384780009</v>
      </c>
    </row>
    <row r="15" spans="1:13" x14ac:dyDescent="0.25">
      <c r="A15" s="374" t="s">
        <v>805</v>
      </c>
      <c r="B15" s="406">
        <v>187.28354780293</v>
      </c>
      <c r="C15" s="406">
        <v>195.23461043876</v>
      </c>
      <c r="D15" s="406">
        <v>164.97103300353001</v>
      </c>
      <c r="E15" s="406">
        <v>134.07048521865673</v>
      </c>
      <c r="F15" s="406">
        <v>114.60415589476</v>
      </c>
      <c r="G15" s="406">
        <v>182.36371986655004</v>
      </c>
      <c r="H15" s="406">
        <v>242.73948074671998</v>
      </c>
      <c r="I15" s="406">
        <v>165.30235523746998</v>
      </c>
      <c r="J15" s="406">
        <v>165.35960031753999</v>
      </c>
      <c r="K15" s="406">
        <v>161.97871507041998</v>
      </c>
      <c r="L15" s="406">
        <v>173.73514528676998</v>
      </c>
      <c r="M15" s="406">
        <v>380.88926908794002</v>
      </c>
    </row>
    <row r="16" spans="1:13" ht="23.25" x14ac:dyDescent="0.25">
      <c r="A16" s="372" t="s">
        <v>806</v>
      </c>
      <c r="B16" s="405">
        <v>1222.5789584833917</v>
      </c>
      <c r="C16" s="405">
        <v>1220.3122510747723</v>
      </c>
      <c r="D16" s="405">
        <v>1129.1741212973579</v>
      </c>
      <c r="E16" s="405">
        <v>1220.1371397521102</v>
      </c>
      <c r="F16" s="405">
        <v>1177.2283678006402</v>
      </c>
      <c r="G16" s="405">
        <v>1220.742595643392</v>
      </c>
      <c r="H16" s="405">
        <v>1187.7156947212002</v>
      </c>
      <c r="I16" s="405">
        <v>1227.762622319342</v>
      </c>
      <c r="J16" s="405">
        <v>1228.6806766065299</v>
      </c>
      <c r="K16" s="405">
        <v>1189.0476581295898</v>
      </c>
      <c r="L16" s="405">
        <v>1233.4161619655099</v>
      </c>
      <c r="M16" s="405">
        <v>1192.5775006547701</v>
      </c>
    </row>
    <row r="17" spans="1:13" x14ac:dyDescent="0.25">
      <c r="A17" s="224" t="s">
        <v>47</v>
      </c>
      <c r="B17" s="407">
        <f>+SUM(B12:B16)</f>
        <v>1522.6517349926251</v>
      </c>
      <c r="C17" s="407">
        <f t="shared" ref="C17:M17" si="1">+SUM(C12:C16)</f>
        <v>1525.7767813471971</v>
      </c>
      <c r="D17" s="407">
        <f t="shared" si="1"/>
        <v>1402.5142173925874</v>
      </c>
      <c r="E17" s="407">
        <f t="shared" si="1"/>
        <v>1437.2803555710254</v>
      </c>
      <c r="F17" s="407">
        <f t="shared" si="1"/>
        <v>1350.1808015667038</v>
      </c>
      <c r="G17" s="407">
        <f t="shared" si="1"/>
        <v>1468.6670662919205</v>
      </c>
      <c r="H17" s="407">
        <f t="shared" si="1"/>
        <v>1508.9698924644035</v>
      </c>
      <c r="I17" s="407">
        <f t="shared" si="1"/>
        <v>1511.7379957919497</v>
      </c>
      <c r="J17" s="407">
        <f t="shared" si="1"/>
        <v>1502.7659309555345</v>
      </c>
      <c r="K17" s="407">
        <f t="shared" si="1"/>
        <v>1461.160696928278</v>
      </c>
      <c r="L17" s="407">
        <f t="shared" si="1"/>
        <v>1519.8937955802514</v>
      </c>
      <c r="M17" s="407">
        <f t="shared" si="1"/>
        <v>1680.4169494287487</v>
      </c>
    </row>
    <row r="18" spans="1:13" x14ac:dyDescent="0.25">
      <c r="A18" s="553"/>
      <c r="B18" s="553"/>
      <c r="C18" s="553"/>
      <c r="D18" s="388"/>
      <c r="E18" s="388"/>
      <c r="F18" s="388"/>
      <c r="G18" s="388"/>
      <c r="H18" s="388"/>
      <c r="I18" s="388"/>
      <c r="J18" s="388"/>
      <c r="K18" s="388"/>
      <c r="L18" s="388"/>
      <c r="M18" s="388"/>
    </row>
    <row r="19" spans="1:13" ht="93.6" customHeight="1" x14ac:dyDescent="0.25">
      <c r="A19" s="554" t="s">
        <v>815</v>
      </c>
      <c r="B19" s="554"/>
      <c r="C19" s="554"/>
      <c r="D19" s="309"/>
      <c r="E19" s="309"/>
      <c r="F19" s="309"/>
      <c r="G19" s="309"/>
    </row>
    <row r="20" spans="1:13" x14ac:dyDescent="0.25">
      <c r="A20" s="370"/>
      <c r="B20" s="370">
        <v>2012</v>
      </c>
      <c r="C20" s="370">
        <v>2013</v>
      </c>
      <c r="D20" s="370">
        <v>2014</v>
      </c>
      <c r="E20" s="370">
        <v>2015</v>
      </c>
      <c r="F20" s="370">
        <v>2016</v>
      </c>
      <c r="G20" s="370">
        <v>2017</v>
      </c>
      <c r="H20" s="370">
        <v>2018</v>
      </c>
      <c r="I20" s="370">
        <v>2019</v>
      </c>
      <c r="J20" s="370">
        <v>2020</v>
      </c>
    </row>
    <row r="21" spans="1:13" x14ac:dyDescent="0.25">
      <c r="A21" s="372" t="s">
        <v>803</v>
      </c>
      <c r="B21" s="373">
        <v>1652</v>
      </c>
      <c r="C21" s="373">
        <v>8244</v>
      </c>
      <c r="D21" s="373">
        <v>29283</v>
      </c>
      <c r="E21" s="373">
        <v>36887</v>
      </c>
      <c r="F21" s="373">
        <v>39435</v>
      </c>
      <c r="G21" s="373">
        <v>45328</v>
      </c>
      <c r="H21" s="373">
        <v>54213</v>
      </c>
      <c r="I21" s="373">
        <v>61249</v>
      </c>
      <c r="J21" s="373">
        <v>62520</v>
      </c>
    </row>
    <row r="22" spans="1:13" x14ac:dyDescent="0.25">
      <c r="A22" s="374" t="s">
        <v>804</v>
      </c>
      <c r="B22" s="389">
        <v>0</v>
      </c>
      <c r="C22" s="389">
        <v>0</v>
      </c>
      <c r="D22" s="390">
        <v>22</v>
      </c>
      <c r="E22" s="376">
        <v>83</v>
      </c>
      <c r="F22" s="376">
        <v>92</v>
      </c>
      <c r="G22" s="376">
        <v>98</v>
      </c>
      <c r="H22" s="376">
        <v>133</v>
      </c>
      <c r="I22" s="376">
        <v>158</v>
      </c>
      <c r="J22" s="376">
        <v>162</v>
      </c>
    </row>
    <row r="23" spans="1:13" x14ac:dyDescent="0.25">
      <c r="A23" s="372" t="s">
        <v>750</v>
      </c>
      <c r="B23" s="391">
        <v>0</v>
      </c>
      <c r="C23" s="391">
        <v>0</v>
      </c>
      <c r="D23" s="392">
        <v>2</v>
      </c>
      <c r="E23" s="235">
        <v>15</v>
      </c>
      <c r="F23" s="235">
        <v>20</v>
      </c>
      <c r="G23" s="235">
        <v>21</v>
      </c>
      <c r="H23" s="235">
        <v>27</v>
      </c>
      <c r="I23" s="235">
        <v>28</v>
      </c>
      <c r="J23" s="235">
        <v>30</v>
      </c>
    </row>
    <row r="24" spans="1:13" x14ac:dyDescent="0.25">
      <c r="A24" s="374" t="s">
        <v>805</v>
      </c>
      <c r="B24" s="389">
        <v>0</v>
      </c>
      <c r="C24" s="389">
        <v>0</v>
      </c>
      <c r="D24" s="390">
        <v>7</v>
      </c>
      <c r="E24" s="376">
        <v>14</v>
      </c>
      <c r="F24" s="376">
        <v>15</v>
      </c>
      <c r="G24" s="376">
        <v>15</v>
      </c>
      <c r="H24" s="376">
        <v>15</v>
      </c>
      <c r="I24" s="376">
        <v>15</v>
      </c>
      <c r="J24" s="376">
        <v>15</v>
      </c>
    </row>
    <row r="25" spans="1:13" ht="23.25" x14ac:dyDescent="0.25">
      <c r="A25" s="372" t="s">
        <v>806</v>
      </c>
      <c r="B25" s="391">
        <v>0</v>
      </c>
      <c r="C25" s="391">
        <v>0</v>
      </c>
      <c r="D25" s="392">
        <v>3</v>
      </c>
      <c r="E25" s="235">
        <v>5</v>
      </c>
      <c r="F25" s="235">
        <v>6</v>
      </c>
      <c r="G25" s="235">
        <v>6</v>
      </c>
      <c r="H25" s="235">
        <v>8</v>
      </c>
      <c r="I25" s="235">
        <v>8</v>
      </c>
      <c r="J25" s="235">
        <v>8</v>
      </c>
    </row>
    <row r="26" spans="1:13" x14ac:dyDescent="0.25">
      <c r="A26" s="224" t="s">
        <v>47</v>
      </c>
      <c r="B26" s="377">
        <f>+SUM(B21:B25)</f>
        <v>1652</v>
      </c>
      <c r="C26" s="377">
        <f t="shared" ref="C26:D26" si="2">+SUM(C21:C25)</f>
        <v>8244</v>
      </c>
      <c r="D26" s="377">
        <f t="shared" si="2"/>
        <v>29317</v>
      </c>
      <c r="E26" s="377">
        <v>37004</v>
      </c>
      <c r="F26" s="377">
        <v>39568</v>
      </c>
      <c r="G26" s="377">
        <v>45468</v>
      </c>
      <c r="H26" s="377">
        <v>54391</v>
      </c>
      <c r="I26" s="377">
        <f>+SUM(I21:I25)</f>
        <v>61458</v>
      </c>
      <c r="J26" s="377">
        <f>+SUM(J21:J25)</f>
        <v>62735</v>
      </c>
    </row>
    <row r="27" spans="1:13" x14ac:dyDescent="0.2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</row>
    <row r="28" spans="1:13" x14ac:dyDescent="0.2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</row>
    <row r="29" spans="1:13" x14ac:dyDescent="0.2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</row>
    <row r="30" spans="1:13" x14ac:dyDescent="0.25">
      <c r="A30" s="552" t="s">
        <v>844</v>
      </c>
      <c r="B30" s="552"/>
      <c r="C30" s="552"/>
      <c r="D30" s="309"/>
      <c r="E30" s="309"/>
      <c r="F30" s="309"/>
    </row>
    <row r="31" spans="1:13" x14ac:dyDescent="0.25">
      <c r="A31" s="263"/>
      <c r="B31" s="370">
        <v>2012</v>
      </c>
      <c r="C31" s="370">
        <v>2013</v>
      </c>
      <c r="D31" s="370">
        <v>2014</v>
      </c>
      <c r="E31" s="370">
        <v>2015</v>
      </c>
      <c r="F31" s="370">
        <v>2016</v>
      </c>
      <c r="G31" s="370">
        <v>2017</v>
      </c>
      <c r="H31" s="370">
        <v>2018</v>
      </c>
      <c r="I31" s="370">
        <v>2019</v>
      </c>
      <c r="J31" s="370">
        <v>2020</v>
      </c>
    </row>
    <row r="32" spans="1:13" x14ac:dyDescent="0.25">
      <c r="A32" s="372" t="s">
        <v>803</v>
      </c>
      <c r="B32" s="405">
        <v>2.69</v>
      </c>
      <c r="C32" s="405">
        <v>14.93</v>
      </c>
      <c r="D32" s="405">
        <v>97.66</v>
      </c>
      <c r="E32" s="408">
        <v>185.87</v>
      </c>
      <c r="F32" s="408">
        <v>207.83</v>
      </c>
      <c r="G32" s="408">
        <v>232.01</v>
      </c>
      <c r="H32" s="408">
        <v>276.45999999999998</v>
      </c>
      <c r="I32" s="408">
        <v>318.14</v>
      </c>
      <c r="J32" s="408">
        <v>368.71</v>
      </c>
    </row>
    <row r="33" spans="1:10" x14ac:dyDescent="0.25">
      <c r="A33" s="374" t="s">
        <v>804</v>
      </c>
      <c r="B33" s="406">
        <v>0</v>
      </c>
      <c r="C33" s="406">
        <v>0</v>
      </c>
      <c r="D33" s="406">
        <v>0.27</v>
      </c>
      <c r="E33" s="409">
        <v>14.67</v>
      </c>
      <c r="F33" s="409">
        <v>24.76</v>
      </c>
      <c r="G33" s="409">
        <v>29.86</v>
      </c>
      <c r="H33" s="409">
        <v>38.47</v>
      </c>
      <c r="I33" s="409">
        <v>55.49</v>
      </c>
      <c r="J33" s="409">
        <v>58.79</v>
      </c>
    </row>
    <row r="34" spans="1:10" x14ac:dyDescent="0.25">
      <c r="A34" s="372" t="s">
        <v>750</v>
      </c>
      <c r="B34" s="405">
        <v>0</v>
      </c>
      <c r="C34" s="405">
        <v>0</v>
      </c>
      <c r="D34" s="405">
        <v>57.32</v>
      </c>
      <c r="E34" s="408">
        <v>348.29</v>
      </c>
      <c r="F34" s="408">
        <v>746.65</v>
      </c>
      <c r="G34" s="408">
        <v>801.9</v>
      </c>
      <c r="H34" s="408">
        <v>807.8</v>
      </c>
      <c r="I34" s="408">
        <v>919.05</v>
      </c>
      <c r="J34" s="408">
        <v>746.61</v>
      </c>
    </row>
    <row r="35" spans="1:10" x14ac:dyDescent="0.25">
      <c r="A35" s="374" t="s">
        <v>805</v>
      </c>
      <c r="B35" s="406">
        <v>0</v>
      </c>
      <c r="C35" s="406">
        <v>0</v>
      </c>
      <c r="D35" s="406">
        <v>768.18</v>
      </c>
      <c r="E35" s="409">
        <v>2259.36</v>
      </c>
      <c r="F35" s="409">
        <v>2010.02</v>
      </c>
      <c r="G35" s="409">
        <v>2714.17</v>
      </c>
      <c r="H35" s="409">
        <v>2826.62</v>
      </c>
      <c r="I35" s="409">
        <v>2609.38</v>
      </c>
      <c r="J35" s="409">
        <v>2268.5300000000002</v>
      </c>
    </row>
    <row r="36" spans="1:10" ht="23.25" x14ac:dyDescent="0.25">
      <c r="A36" s="372" t="s">
        <v>806</v>
      </c>
      <c r="B36" s="405">
        <v>0</v>
      </c>
      <c r="C36" s="405">
        <v>0</v>
      </c>
      <c r="D36" s="405">
        <v>1489.08</v>
      </c>
      <c r="E36" s="408">
        <v>7661.37</v>
      </c>
      <c r="F36" s="408">
        <v>11669.34</v>
      </c>
      <c r="G36" s="408">
        <v>13695.64</v>
      </c>
      <c r="H36" s="408">
        <v>13748.1</v>
      </c>
      <c r="I36" s="408">
        <v>14264.36</v>
      </c>
      <c r="J36" s="408">
        <v>14449.37</v>
      </c>
    </row>
    <row r="37" spans="1:10" x14ac:dyDescent="0.25">
      <c r="A37" s="224" t="s">
        <v>47</v>
      </c>
      <c r="B37" s="410">
        <f t="shared" ref="B37:J37" si="3">+SUM(B32:B36)</f>
        <v>2.69</v>
      </c>
      <c r="C37" s="410">
        <f t="shared" si="3"/>
        <v>14.93</v>
      </c>
      <c r="D37" s="410">
        <f t="shared" si="3"/>
        <v>2412.5099999999998</v>
      </c>
      <c r="E37" s="410">
        <f t="shared" si="3"/>
        <v>10469.56</v>
      </c>
      <c r="F37" s="410">
        <f t="shared" si="3"/>
        <v>14658.6</v>
      </c>
      <c r="G37" s="410">
        <f t="shared" si="3"/>
        <v>17473.579999999998</v>
      </c>
      <c r="H37" s="410">
        <f t="shared" si="3"/>
        <v>17697.45</v>
      </c>
      <c r="I37" s="410">
        <f t="shared" si="3"/>
        <v>18166.420000000002</v>
      </c>
      <c r="J37" s="410">
        <f t="shared" si="3"/>
        <v>17892.010000000002</v>
      </c>
    </row>
  </sheetData>
  <mergeCells count="5">
    <mergeCell ref="A9:C9"/>
    <mergeCell ref="A10:B10"/>
    <mergeCell ref="A18:C18"/>
    <mergeCell ref="A19:C19"/>
    <mergeCell ref="A30:C30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topLeftCell="A19" workbookViewId="0">
      <selection activeCell="D14" sqref="D14"/>
    </sheetView>
  </sheetViews>
  <sheetFormatPr baseColWidth="10" defaultRowHeight="15" x14ac:dyDescent="0.25"/>
  <cols>
    <col min="2" max="2" width="16" bestFit="1" customWidth="1"/>
    <col min="3" max="3" width="15.7109375" bestFit="1" customWidth="1"/>
    <col min="4" max="4" width="15.85546875" bestFit="1" customWidth="1"/>
    <col min="5" max="5" width="15.42578125" bestFit="1" customWidth="1"/>
    <col min="6" max="6" width="16.42578125" bestFit="1" customWidth="1"/>
    <col min="7" max="7" width="15.42578125" bestFit="1" customWidth="1"/>
    <col min="8" max="8" width="14.28515625" bestFit="1" customWidth="1"/>
    <col min="9" max="9" width="16.28515625" bestFit="1" customWidth="1"/>
    <col min="10" max="10" width="12.7109375" bestFit="1" customWidth="1"/>
    <col min="11" max="11" width="15.28515625" bestFit="1" customWidth="1"/>
    <col min="12" max="12" width="16.28515625" bestFit="1" customWidth="1"/>
    <col min="13" max="13" width="15.140625" bestFit="1" customWidth="1"/>
  </cols>
  <sheetData>
    <row r="1" spans="1:13" x14ac:dyDescent="0.25">
      <c r="A1" t="s">
        <v>843</v>
      </c>
    </row>
    <row r="2" spans="1:13" x14ac:dyDescent="0.25">
      <c r="A2" s="370"/>
      <c r="B2" s="371">
        <v>43831</v>
      </c>
      <c r="C2" s="371">
        <v>43862</v>
      </c>
      <c r="D2" s="371">
        <v>43891</v>
      </c>
      <c r="E2" s="371">
        <v>43922</v>
      </c>
      <c r="F2" s="371">
        <v>43952</v>
      </c>
      <c r="G2" s="371">
        <v>43983</v>
      </c>
      <c r="H2" s="371">
        <v>44013</v>
      </c>
      <c r="I2" s="371">
        <v>44044</v>
      </c>
      <c r="J2" s="371">
        <v>44075</v>
      </c>
      <c r="K2" s="371">
        <v>44105</v>
      </c>
      <c r="L2" s="371">
        <v>44136</v>
      </c>
      <c r="M2" s="371">
        <v>44166</v>
      </c>
    </row>
    <row r="3" spans="1:13" x14ac:dyDescent="0.25">
      <c r="A3" s="372" t="s">
        <v>816</v>
      </c>
      <c r="B3" s="381">
        <v>85752</v>
      </c>
      <c r="C3" s="381">
        <v>89037</v>
      </c>
      <c r="D3" s="381">
        <v>94512</v>
      </c>
      <c r="E3" s="381">
        <v>96008</v>
      </c>
      <c r="F3" s="381">
        <v>96027</v>
      </c>
      <c r="G3" s="381">
        <v>96409</v>
      </c>
      <c r="H3" s="381">
        <v>96897</v>
      </c>
      <c r="I3" s="381">
        <v>98299</v>
      </c>
      <c r="J3" s="381">
        <v>101560</v>
      </c>
      <c r="K3" s="381">
        <v>105511</v>
      </c>
      <c r="L3" s="381">
        <v>109697</v>
      </c>
      <c r="M3" s="381">
        <v>115753</v>
      </c>
    </row>
    <row r="4" spans="1:13" x14ac:dyDescent="0.25">
      <c r="A4" s="374" t="s">
        <v>817</v>
      </c>
      <c r="B4" s="384">
        <v>95</v>
      </c>
      <c r="C4" s="384">
        <v>104</v>
      </c>
      <c r="D4" s="384">
        <v>132</v>
      </c>
      <c r="E4" s="384">
        <v>132</v>
      </c>
      <c r="F4" s="384">
        <v>132</v>
      </c>
      <c r="G4" s="384">
        <v>132</v>
      </c>
      <c r="H4" s="384">
        <v>132</v>
      </c>
      <c r="I4" s="384">
        <v>132</v>
      </c>
      <c r="J4" s="384">
        <v>132</v>
      </c>
      <c r="K4" s="384">
        <v>135</v>
      </c>
      <c r="L4" s="384">
        <v>135</v>
      </c>
      <c r="M4" s="384">
        <v>135</v>
      </c>
    </row>
    <row r="5" spans="1:13" x14ac:dyDescent="0.25">
      <c r="A5" s="372" t="s">
        <v>818</v>
      </c>
      <c r="B5" s="381">
        <v>1</v>
      </c>
      <c r="C5" s="381">
        <v>1</v>
      </c>
      <c r="D5" s="381">
        <v>1</v>
      </c>
      <c r="E5" s="381">
        <v>1</v>
      </c>
      <c r="F5" s="381">
        <v>1</v>
      </c>
      <c r="G5" s="381">
        <v>1</v>
      </c>
      <c r="H5" s="381">
        <v>1</v>
      </c>
      <c r="I5" s="381">
        <v>1</v>
      </c>
      <c r="J5" s="381">
        <v>1</v>
      </c>
      <c r="K5" s="381">
        <v>1</v>
      </c>
      <c r="L5" s="381">
        <v>1</v>
      </c>
      <c r="M5" s="381">
        <v>1</v>
      </c>
    </row>
    <row r="6" spans="1:13" x14ac:dyDescent="0.25">
      <c r="A6" s="374" t="s">
        <v>819</v>
      </c>
      <c r="B6" s="384">
        <v>25</v>
      </c>
      <c r="C6" s="384">
        <v>25</v>
      </c>
      <c r="D6" s="384">
        <v>26</v>
      </c>
      <c r="E6" s="384">
        <v>29</v>
      </c>
      <c r="F6" s="384">
        <v>30</v>
      </c>
      <c r="G6" s="384">
        <v>30</v>
      </c>
      <c r="H6" s="384">
        <v>29</v>
      </c>
      <c r="I6" s="384">
        <v>29</v>
      </c>
      <c r="J6" s="384">
        <v>29</v>
      </c>
      <c r="K6" s="384">
        <v>29</v>
      </c>
      <c r="L6" s="384">
        <v>30</v>
      </c>
      <c r="M6" s="384">
        <v>32</v>
      </c>
    </row>
    <row r="7" spans="1:13" x14ac:dyDescent="0.25">
      <c r="A7" s="224" t="s">
        <v>47</v>
      </c>
      <c r="B7" s="393">
        <f>+SUM(B3:B6)</f>
        <v>85873</v>
      </c>
      <c r="C7" s="393">
        <f t="shared" ref="C7:M7" si="0">+SUM(C3:C6)</f>
        <v>89167</v>
      </c>
      <c r="D7" s="393">
        <f t="shared" si="0"/>
        <v>94671</v>
      </c>
      <c r="E7" s="393">
        <f t="shared" si="0"/>
        <v>96170</v>
      </c>
      <c r="F7" s="393">
        <f t="shared" si="0"/>
        <v>96190</v>
      </c>
      <c r="G7" s="393">
        <f t="shared" si="0"/>
        <v>96572</v>
      </c>
      <c r="H7" s="393">
        <f t="shared" si="0"/>
        <v>97059</v>
      </c>
      <c r="I7" s="393">
        <f t="shared" si="0"/>
        <v>98461</v>
      </c>
      <c r="J7" s="393">
        <f t="shared" si="0"/>
        <v>101722</v>
      </c>
      <c r="K7" s="393">
        <f t="shared" si="0"/>
        <v>105676</v>
      </c>
      <c r="L7" s="393">
        <f t="shared" si="0"/>
        <v>109863</v>
      </c>
      <c r="M7" s="393">
        <f t="shared" si="0"/>
        <v>115921</v>
      </c>
    </row>
    <row r="8" spans="1:13" ht="11.25" customHeight="1" x14ac:dyDescent="0.25">
      <c r="A8" s="555" t="s">
        <v>820</v>
      </c>
      <c r="B8" s="555"/>
      <c r="C8" s="555"/>
      <c r="D8" s="309"/>
      <c r="E8" s="309"/>
      <c r="F8" s="309"/>
      <c r="G8" s="309"/>
      <c r="H8" s="309"/>
      <c r="I8" s="309"/>
      <c r="J8" s="309"/>
      <c r="K8" s="309"/>
      <c r="L8" s="309"/>
      <c r="M8" s="309"/>
    </row>
    <row r="9" spans="1:13" ht="11.25" customHeight="1" x14ac:dyDescent="0.25">
      <c r="A9" s="555" t="s">
        <v>821</v>
      </c>
      <c r="B9" s="555"/>
      <c r="C9" s="555"/>
      <c r="D9" s="309"/>
      <c r="E9" s="309"/>
      <c r="F9" s="309"/>
      <c r="G9" s="309"/>
      <c r="H9" s="309"/>
      <c r="I9" s="309"/>
      <c r="J9" s="309"/>
      <c r="K9" s="309"/>
      <c r="L9" s="309"/>
      <c r="M9" s="309"/>
    </row>
    <row r="10" spans="1:13" ht="11.25" customHeight="1" x14ac:dyDescent="0.25">
      <c r="A10" s="555" t="s">
        <v>822</v>
      </c>
      <c r="B10" s="555"/>
      <c r="C10" s="555"/>
      <c r="D10" s="309"/>
      <c r="E10" s="309"/>
      <c r="F10" s="309"/>
      <c r="G10" s="309"/>
      <c r="H10" s="309"/>
      <c r="I10" s="309"/>
      <c r="J10" s="309"/>
      <c r="K10" s="309"/>
      <c r="L10" s="309"/>
      <c r="M10" s="309"/>
    </row>
    <row r="11" spans="1:13" ht="11.25" customHeight="1" x14ac:dyDescent="0.25">
      <c r="A11" s="555" t="s">
        <v>823</v>
      </c>
      <c r="B11" s="555"/>
      <c r="C11" s="555"/>
      <c r="D11" s="309"/>
      <c r="E11" s="309"/>
      <c r="F11" s="309"/>
      <c r="G11" s="309"/>
      <c r="H11" s="309"/>
      <c r="I11" s="309"/>
      <c r="J11" s="309"/>
      <c r="K11" s="309"/>
      <c r="L11" s="309"/>
      <c r="M11" s="309"/>
    </row>
    <row r="12" spans="1:13" x14ac:dyDescent="0.25">
      <c r="A12" s="309"/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</row>
    <row r="13" spans="1:13" x14ac:dyDescent="0.25">
      <c r="A13" s="552" t="s">
        <v>824</v>
      </c>
      <c r="B13" s="552"/>
      <c r="C13" s="309" t="s">
        <v>841</v>
      </c>
      <c r="D13" s="309"/>
      <c r="E13" s="309"/>
      <c r="F13" s="309"/>
      <c r="G13" s="309"/>
      <c r="H13" s="309"/>
      <c r="I13" s="309"/>
      <c r="J13" s="309"/>
      <c r="K13" s="309"/>
      <c r="L13" s="309"/>
      <c r="M13" s="309"/>
    </row>
    <row r="14" spans="1:13" x14ac:dyDescent="0.25">
      <c r="A14" s="370"/>
      <c r="B14" s="371">
        <v>43831</v>
      </c>
      <c r="C14" s="371">
        <v>43862</v>
      </c>
      <c r="D14" s="371">
        <v>43891</v>
      </c>
      <c r="E14" s="371">
        <v>43922</v>
      </c>
      <c r="F14" s="371">
        <v>43952</v>
      </c>
      <c r="G14" s="371">
        <v>43983</v>
      </c>
      <c r="H14" s="371">
        <v>44013</v>
      </c>
      <c r="I14" s="371">
        <v>44044</v>
      </c>
      <c r="J14" s="371">
        <v>44075</v>
      </c>
      <c r="K14" s="371">
        <v>44105</v>
      </c>
      <c r="L14" s="371">
        <v>44136</v>
      </c>
      <c r="M14" s="371">
        <v>44166</v>
      </c>
    </row>
    <row r="15" spans="1:13" x14ac:dyDescent="0.25">
      <c r="A15" s="372" t="s">
        <v>803</v>
      </c>
      <c r="B15" s="378">
        <v>38.996824696889995</v>
      </c>
      <c r="C15" s="378">
        <v>36.586846378372911</v>
      </c>
      <c r="D15" s="378">
        <v>39.819246468039154</v>
      </c>
      <c r="E15" s="378">
        <v>30.585632040321666</v>
      </c>
      <c r="F15" s="378">
        <v>43.596925347331911</v>
      </c>
      <c r="G15" s="378">
        <v>68.730697620574475</v>
      </c>
      <c r="H15" s="378">
        <v>61.108408441235341</v>
      </c>
      <c r="I15" s="378">
        <v>52.806873603080007</v>
      </c>
      <c r="J15" s="378">
        <v>50.986826140619996</v>
      </c>
      <c r="K15" s="378">
        <v>54.144965283870668</v>
      </c>
      <c r="L15" s="378">
        <v>49.54122012417001</v>
      </c>
      <c r="M15" s="378">
        <v>52.768968013457666</v>
      </c>
    </row>
    <row r="16" spans="1:13" x14ac:dyDescent="0.25">
      <c r="A16" s="374" t="s">
        <v>804</v>
      </c>
      <c r="B16" s="379">
        <v>1.6001783270399998</v>
      </c>
      <c r="C16" s="379">
        <v>1.9557235994264</v>
      </c>
      <c r="D16" s="379">
        <v>1.9397922019465517</v>
      </c>
      <c r="E16" s="379">
        <v>0.29716341308909999</v>
      </c>
      <c r="F16" s="379">
        <v>0.14120329482588334</v>
      </c>
      <c r="G16" s="379">
        <v>0.67474362696870005</v>
      </c>
      <c r="H16" s="379">
        <v>0.72133391795300006</v>
      </c>
      <c r="I16" s="379">
        <v>1.02536144345</v>
      </c>
      <c r="J16" s="379">
        <v>0.52636515635000003</v>
      </c>
      <c r="K16" s="379">
        <v>0.6095959477616667</v>
      </c>
      <c r="L16" s="379">
        <v>0.75167275094999997</v>
      </c>
      <c r="M16" s="379">
        <v>0.75133019865100004</v>
      </c>
    </row>
    <row r="17" spans="1:13" x14ac:dyDescent="0.25">
      <c r="A17" s="372" t="s">
        <v>750</v>
      </c>
      <c r="B17" s="378">
        <v>3.0538360882500002</v>
      </c>
      <c r="C17" s="378">
        <v>3.0057509272846001</v>
      </c>
      <c r="D17" s="378">
        <v>3.215594873297638</v>
      </c>
      <c r="E17" s="378">
        <v>1.8533633221380001</v>
      </c>
      <c r="F17" s="378">
        <v>0.34532214628366664</v>
      </c>
      <c r="G17" s="378">
        <v>0.72094898805000007</v>
      </c>
      <c r="H17" s="378">
        <v>1.1772262960066668</v>
      </c>
      <c r="I17" s="378">
        <v>1.85373765764</v>
      </c>
      <c r="J17" s="378">
        <v>2.1026354517999999</v>
      </c>
      <c r="K17" s="378">
        <v>2.0998126325113331</v>
      </c>
      <c r="L17" s="378">
        <v>2.4289430025999996</v>
      </c>
      <c r="M17" s="378">
        <v>2.5278252557556669</v>
      </c>
    </row>
    <row r="18" spans="1:13" x14ac:dyDescent="0.25">
      <c r="A18" s="374" t="s">
        <v>805</v>
      </c>
      <c r="B18" s="379">
        <v>101.01747227632001</v>
      </c>
      <c r="C18" s="379">
        <v>97.886561214501597</v>
      </c>
      <c r="D18" s="379">
        <v>140.77825213276125</v>
      </c>
      <c r="E18" s="379">
        <v>103.93856340467869</v>
      </c>
      <c r="F18" s="379">
        <v>66.264762889611163</v>
      </c>
      <c r="G18" s="379">
        <v>204.02993594622617</v>
      </c>
      <c r="H18" s="379">
        <v>341.71810410534971</v>
      </c>
      <c r="I18" s="379">
        <v>223.16406476034001</v>
      </c>
      <c r="J18" s="379">
        <v>138.93903590105003</v>
      </c>
      <c r="K18" s="379">
        <v>129.33305131390168</v>
      </c>
      <c r="L18" s="379">
        <v>155.09789882361002</v>
      </c>
      <c r="M18" s="379">
        <v>281.47933236157667</v>
      </c>
    </row>
    <row r="19" spans="1:13" x14ac:dyDescent="0.25">
      <c r="A19" s="224" t="s">
        <v>47</v>
      </c>
      <c r="B19" s="380">
        <f>+SUM(B15:B18)</f>
        <v>144.6683113885</v>
      </c>
      <c r="C19" s="380">
        <f t="shared" ref="C19:M19" si="1">+SUM(C15:C18)</f>
        <v>139.4348821195855</v>
      </c>
      <c r="D19" s="380">
        <f t="shared" si="1"/>
        <v>185.7528856760446</v>
      </c>
      <c r="E19" s="380">
        <f t="shared" si="1"/>
        <v>136.67472218022746</v>
      </c>
      <c r="F19" s="380">
        <f t="shared" si="1"/>
        <v>110.34821367805262</v>
      </c>
      <c r="G19" s="380">
        <f t="shared" si="1"/>
        <v>274.15632618181934</v>
      </c>
      <c r="H19" s="380">
        <f t="shared" si="1"/>
        <v>404.72507276054472</v>
      </c>
      <c r="I19" s="380">
        <f t="shared" si="1"/>
        <v>278.85003746451002</v>
      </c>
      <c r="J19" s="380">
        <f t="shared" si="1"/>
        <v>192.55486264982002</v>
      </c>
      <c r="K19" s="380">
        <f t="shared" si="1"/>
        <v>186.18742517804534</v>
      </c>
      <c r="L19" s="380">
        <f t="shared" si="1"/>
        <v>207.81973470133005</v>
      </c>
      <c r="M19" s="380">
        <f t="shared" si="1"/>
        <v>337.52745582944101</v>
      </c>
    </row>
    <row r="20" spans="1:13" x14ac:dyDescent="0.25">
      <c r="A20" s="309"/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</row>
    <row r="21" spans="1:13" x14ac:dyDescent="0.25">
      <c r="A21" s="552" t="s">
        <v>825</v>
      </c>
      <c r="B21" s="552"/>
      <c r="C21" s="552"/>
      <c r="D21" s="309"/>
      <c r="E21" s="152"/>
      <c r="F21" s="152"/>
      <c r="G21" s="552" t="s">
        <v>826</v>
      </c>
      <c r="H21" s="552"/>
      <c r="I21" s="309" t="s">
        <v>841</v>
      </c>
      <c r="J21" s="309"/>
      <c r="K21" s="309"/>
      <c r="L21" s="309"/>
      <c r="M21" s="309"/>
    </row>
    <row r="22" spans="1:13" x14ac:dyDescent="0.25">
      <c r="A22" s="370"/>
      <c r="B22" s="370">
        <v>2017</v>
      </c>
      <c r="C22" s="370">
        <v>2018</v>
      </c>
      <c r="D22" s="370">
        <v>2019</v>
      </c>
      <c r="E22" s="370">
        <v>2020</v>
      </c>
      <c r="F22" s="152"/>
      <c r="G22" s="370"/>
      <c r="H22" s="370">
        <v>2018</v>
      </c>
      <c r="I22" s="370">
        <v>2019</v>
      </c>
      <c r="J22" s="370">
        <v>2020</v>
      </c>
      <c r="K22" s="309"/>
      <c r="L22" s="309"/>
      <c r="M22" s="309"/>
    </row>
    <row r="23" spans="1:13" x14ac:dyDescent="0.25">
      <c r="A23" s="372" t="s">
        <v>803</v>
      </c>
      <c r="B23" s="235">
        <v>51</v>
      </c>
      <c r="C23" s="373">
        <v>21501</v>
      </c>
      <c r="D23" s="373">
        <v>87345</v>
      </c>
      <c r="E23" s="373">
        <v>115753</v>
      </c>
      <c r="F23" s="152"/>
      <c r="G23" s="372" t="s">
        <v>803</v>
      </c>
      <c r="H23" s="405">
        <v>25.811759508285689</v>
      </c>
      <c r="I23" s="405">
        <v>251.65719595285884</v>
      </c>
      <c r="J23" s="405">
        <v>579.6734341579637</v>
      </c>
      <c r="K23" s="309"/>
      <c r="L23" s="309"/>
      <c r="M23" s="309"/>
    </row>
    <row r="24" spans="1:13" x14ac:dyDescent="0.25">
      <c r="A24" s="374" t="s">
        <v>804</v>
      </c>
      <c r="B24" s="394">
        <v>0</v>
      </c>
      <c r="C24" s="376">
        <v>10</v>
      </c>
      <c r="D24" s="376">
        <v>118</v>
      </c>
      <c r="E24" s="376">
        <v>135</v>
      </c>
      <c r="F24" s="152"/>
      <c r="G24" s="374" t="s">
        <v>804</v>
      </c>
      <c r="H24" s="411">
        <v>0</v>
      </c>
      <c r="I24" s="411">
        <v>4.8278773643675006</v>
      </c>
      <c r="J24" s="411">
        <v>10.994463878412304</v>
      </c>
      <c r="K24" s="309"/>
      <c r="L24" s="309"/>
      <c r="M24" s="309"/>
    </row>
    <row r="25" spans="1:13" x14ac:dyDescent="0.25">
      <c r="A25" s="372" t="s">
        <v>750</v>
      </c>
      <c r="B25" s="395">
        <v>0</v>
      </c>
      <c r="C25" s="235">
        <v>1</v>
      </c>
      <c r="D25" s="235">
        <v>1</v>
      </c>
      <c r="E25" s="235">
        <v>1</v>
      </c>
      <c r="F25" s="152"/>
      <c r="G25" s="372" t="s">
        <v>750</v>
      </c>
      <c r="H25" s="405">
        <v>22.667182502236901</v>
      </c>
      <c r="I25" s="405">
        <v>38.211324729840399</v>
      </c>
      <c r="J25" s="405">
        <v>24.384996641617573</v>
      </c>
      <c r="K25" s="309"/>
      <c r="L25" s="309"/>
      <c r="M25" s="309"/>
    </row>
    <row r="26" spans="1:13" x14ac:dyDescent="0.25">
      <c r="A26" s="374" t="s">
        <v>805</v>
      </c>
      <c r="B26" s="394">
        <v>0</v>
      </c>
      <c r="C26" s="376">
        <v>14</v>
      </c>
      <c r="D26" s="376">
        <v>26</v>
      </c>
      <c r="E26" s="376">
        <v>32</v>
      </c>
      <c r="F26" s="152"/>
      <c r="G26" s="374" t="s">
        <v>805</v>
      </c>
      <c r="H26" s="406">
        <v>207.3835169499423</v>
      </c>
      <c r="I26" s="406">
        <v>294.69639804706674</v>
      </c>
      <c r="J26" s="406">
        <v>1983.6470351299267</v>
      </c>
      <c r="K26" s="309"/>
      <c r="L26" s="309"/>
      <c r="M26" s="309"/>
    </row>
    <row r="27" spans="1:13" x14ac:dyDescent="0.25">
      <c r="A27" s="224" t="s">
        <v>47</v>
      </c>
      <c r="B27" s="238">
        <v>51</v>
      </c>
      <c r="C27" s="377">
        <v>21526</v>
      </c>
      <c r="D27" s="377">
        <f>+SUM(D23:D26)</f>
        <v>87490</v>
      </c>
      <c r="E27" s="377">
        <f>+SUM(E23:E26)</f>
        <v>115921</v>
      </c>
      <c r="F27" s="152"/>
      <c r="G27" s="224" t="s">
        <v>47</v>
      </c>
      <c r="H27" s="407">
        <f>+SUM(H23:H26)</f>
        <v>255.86245896046489</v>
      </c>
      <c r="I27" s="407">
        <f>+SUM(I23:I26)</f>
        <v>589.39279609413347</v>
      </c>
      <c r="J27" s="407">
        <f>+SUM(J23:J26)</f>
        <v>2598.6999298079204</v>
      </c>
      <c r="K27" s="309"/>
      <c r="L27" s="309"/>
      <c r="M27" s="309"/>
    </row>
  </sheetData>
  <mergeCells count="7">
    <mergeCell ref="G21:H21"/>
    <mergeCell ref="A8:C8"/>
    <mergeCell ref="A9:C9"/>
    <mergeCell ref="A10:C10"/>
    <mergeCell ref="A11:C11"/>
    <mergeCell ref="A13:B13"/>
    <mergeCell ref="A21:C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F12"/>
  <sheetViews>
    <sheetView showGridLines="0" workbookViewId="0">
      <selection activeCell="B2" sqref="B2:F2"/>
    </sheetView>
  </sheetViews>
  <sheetFormatPr baseColWidth="10" defaultRowHeight="14.45" customHeight="1" x14ac:dyDescent="0.25"/>
  <cols>
    <col min="2" max="2" width="9.5703125" style="6" customWidth="1"/>
    <col min="3" max="3" width="10.28515625" style="5" customWidth="1"/>
    <col min="4" max="4" width="19.7109375" style="5" customWidth="1"/>
    <col min="5" max="5" width="9.5703125" style="5" customWidth="1"/>
    <col min="6" max="6" width="12" style="5" customWidth="1"/>
  </cols>
  <sheetData>
    <row r="2" spans="2:6" ht="14.45" customHeight="1" x14ac:dyDescent="0.25">
      <c r="B2" s="463" t="s">
        <v>140</v>
      </c>
      <c r="C2" s="463"/>
      <c r="D2" s="463"/>
      <c r="E2" s="463"/>
      <c r="F2" s="463"/>
    </row>
    <row r="4" spans="2:6" s="48" customFormat="1" ht="14.45" customHeight="1" x14ac:dyDescent="0.25">
      <c r="B4" s="441" t="s">
        <v>141</v>
      </c>
      <c r="C4" s="441"/>
      <c r="D4" s="441"/>
      <c r="E4" s="441"/>
      <c r="F4" s="441"/>
    </row>
    <row r="5" spans="2:6" s="48" customFormat="1" ht="22.5" x14ac:dyDescent="0.25">
      <c r="B5" s="7" t="s">
        <v>142</v>
      </c>
      <c r="C5" s="7" t="s">
        <v>143</v>
      </c>
      <c r="D5" s="7" t="s">
        <v>144</v>
      </c>
      <c r="E5" s="7" t="s">
        <v>145</v>
      </c>
      <c r="F5" s="7" t="s">
        <v>146</v>
      </c>
    </row>
    <row r="6" spans="2:6" ht="19.5" customHeight="1" x14ac:dyDescent="0.25">
      <c r="B6" s="464" t="s">
        <v>147</v>
      </c>
      <c r="C6" s="111">
        <v>116</v>
      </c>
      <c r="D6" s="52" t="s">
        <v>148</v>
      </c>
      <c r="E6" s="9" t="s">
        <v>149</v>
      </c>
      <c r="F6" s="112">
        <v>44001</v>
      </c>
    </row>
    <row r="7" spans="2:6" ht="20.25" customHeight="1" x14ac:dyDescent="0.25">
      <c r="B7" s="464"/>
      <c r="C7" s="111">
        <v>108</v>
      </c>
      <c r="D7" s="52" t="s">
        <v>148</v>
      </c>
      <c r="E7" s="113" t="s">
        <v>149</v>
      </c>
      <c r="F7" s="112">
        <v>44097</v>
      </c>
    </row>
    <row r="8" spans="2:6" ht="20.25" customHeight="1" x14ac:dyDescent="0.25">
      <c r="B8" s="464"/>
      <c r="C8" s="111">
        <v>103</v>
      </c>
      <c r="D8" s="9" t="s">
        <v>150</v>
      </c>
      <c r="E8" s="113" t="s">
        <v>151</v>
      </c>
      <c r="F8" s="112">
        <v>44195</v>
      </c>
    </row>
    <row r="9" spans="2:6" ht="14.45" customHeight="1" x14ac:dyDescent="0.25">
      <c r="B9" s="114" t="s">
        <v>47</v>
      </c>
      <c r="C9" s="115">
        <v>3</v>
      </c>
      <c r="D9" s="116"/>
      <c r="E9" s="117"/>
      <c r="F9" s="116"/>
    </row>
    <row r="12" spans="2:6" ht="14.45" customHeight="1" x14ac:dyDescent="0.25">
      <c r="B12" s="1" t="s">
        <v>33</v>
      </c>
    </row>
  </sheetData>
  <mergeCells count="3">
    <mergeCell ref="B2:F2"/>
    <mergeCell ref="B4:F4"/>
    <mergeCell ref="B6:B8"/>
  </mergeCells>
  <pageMargins left="0.7" right="0.7" top="0.75" bottom="0.75" header="0.3" footer="0.3"/>
  <pageSetup orientation="portrait" horizontalDpi="0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topLeftCell="A28" workbookViewId="0">
      <selection activeCell="D14" sqref="D14"/>
    </sheetView>
  </sheetViews>
  <sheetFormatPr baseColWidth="10" defaultRowHeight="15" x14ac:dyDescent="0.25"/>
  <cols>
    <col min="2" max="2" width="16" bestFit="1" customWidth="1"/>
    <col min="3" max="3" width="15.7109375" bestFit="1" customWidth="1"/>
    <col min="4" max="4" width="15.85546875" bestFit="1" customWidth="1"/>
    <col min="5" max="5" width="15.42578125" bestFit="1" customWidth="1"/>
    <col min="6" max="6" width="16.42578125" bestFit="1" customWidth="1"/>
    <col min="7" max="7" width="15.42578125" bestFit="1" customWidth="1"/>
    <col min="8" max="8" width="15.140625" bestFit="1" customWidth="1"/>
    <col min="9" max="9" width="16.28515625" bestFit="1" customWidth="1"/>
    <col min="10" max="10" width="15.140625" bestFit="1" customWidth="1"/>
    <col min="11" max="11" width="15.28515625" bestFit="1" customWidth="1"/>
    <col min="12" max="12" width="16.28515625" bestFit="1" customWidth="1"/>
    <col min="13" max="13" width="15.140625" bestFit="1" customWidth="1"/>
  </cols>
  <sheetData>
    <row r="1" spans="1:13" x14ac:dyDescent="0.25">
      <c r="A1" s="370"/>
      <c r="B1" s="371">
        <v>43831</v>
      </c>
      <c r="C1" s="371">
        <v>43862</v>
      </c>
      <c r="D1" s="371">
        <v>43891</v>
      </c>
      <c r="E1" s="371">
        <v>43922</v>
      </c>
      <c r="F1" s="371">
        <v>43952</v>
      </c>
      <c r="G1" s="371">
        <v>43983</v>
      </c>
      <c r="H1" s="371">
        <v>44013</v>
      </c>
      <c r="I1" s="371">
        <v>44044</v>
      </c>
      <c r="J1" s="371">
        <v>44075</v>
      </c>
      <c r="K1" s="371">
        <v>44105</v>
      </c>
      <c r="L1" s="371">
        <v>44136</v>
      </c>
      <c r="M1" s="371">
        <v>44166</v>
      </c>
    </row>
    <row r="2" spans="1:13" x14ac:dyDescent="0.25">
      <c r="A2" s="372" t="s">
        <v>803</v>
      </c>
      <c r="B2" s="373">
        <v>12835</v>
      </c>
      <c r="C2" s="373">
        <v>12842</v>
      </c>
      <c r="D2" s="373">
        <v>12846</v>
      </c>
      <c r="E2" s="373">
        <v>12846</v>
      </c>
      <c r="F2" s="373">
        <v>12846</v>
      </c>
      <c r="G2" s="373">
        <v>12846</v>
      </c>
      <c r="H2" s="373">
        <v>12846</v>
      </c>
      <c r="I2" s="373">
        <v>12846</v>
      </c>
      <c r="J2" s="373">
        <v>12846</v>
      </c>
      <c r="K2" s="373">
        <v>12846</v>
      </c>
      <c r="L2" s="373">
        <v>12846</v>
      </c>
      <c r="M2" s="373">
        <v>12846</v>
      </c>
    </row>
    <row r="3" spans="1:13" s="414" customFormat="1" x14ac:dyDescent="0.25">
      <c r="A3" s="412" t="s">
        <v>804</v>
      </c>
      <c r="B3" s="413">
        <v>23</v>
      </c>
      <c r="C3" s="413">
        <v>28</v>
      </c>
      <c r="D3" s="413">
        <v>28</v>
      </c>
      <c r="E3" s="413">
        <v>28</v>
      </c>
      <c r="F3" s="413">
        <v>28</v>
      </c>
      <c r="G3" s="413">
        <v>28</v>
      </c>
      <c r="H3" s="413">
        <v>28</v>
      </c>
      <c r="I3" s="413">
        <v>28</v>
      </c>
      <c r="J3" s="413">
        <v>28</v>
      </c>
      <c r="K3" s="413">
        <v>28</v>
      </c>
      <c r="L3" s="413">
        <v>28</v>
      </c>
      <c r="M3" s="413">
        <v>29</v>
      </c>
    </row>
    <row r="4" spans="1:13" x14ac:dyDescent="0.25">
      <c r="A4" s="372" t="s">
        <v>750</v>
      </c>
      <c r="B4" s="391">
        <v>0</v>
      </c>
      <c r="C4" s="391">
        <v>0</v>
      </c>
      <c r="D4" s="391">
        <v>0</v>
      </c>
      <c r="E4" s="391">
        <v>0</v>
      </c>
      <c r="F4" s="391">
        <v>0</v>
      </c>
      <c r="G4" s="391">
        <v>0</v>
      </c>
      <c r="H4" s="391">
        <v>0</v>
      </c>
      <c r="I4" s="391">
        <v>0</v>
      </c>
      <c r="J4" s="391">
        <v>0</v>
      </c>
      <c r="K4" s="391">
        <v>0</v>
      </c>
      <c r="L4" s="391">
        <v>0</v>
      </c>
      <c r="M4" s="391">
        <v>0</v>
      </c>
    </row>
    <row r="5" spans="1:13" s="414" customFormat="1" x14ac:dyDescent="0.25">
      <c r="A5" s="412" t="s">
        <v>805</v>
      </c>
      <c r="B5" s="413">
        <v>19</v>
      </c>
      <c r="C5" s="413">
        <v>19</v>
      </c>
      <c r="D5" s="413">
        <v>19</v>
      </c>
      <c r="E5" s="413">
        <v>19</v>
      </c>
      <c r="F5" s="413">
        <v>19</v>
      </c>
      <c r="G5" s="413">
        <v>19</v>
      </c>
      <c r="H5" s="413">
        <v>19</v>
      </c>
      <c r="I5" s="413">
        <v>19</v>
      </c>
      <c r="J5" s="413">
        <v>19</v>
      </c>
      <c r="K5" s="413">
        <v>19</v>
      </c>
      <c r="L5" s="413">
        <v>19</v>
      </c>
      <c r="M5" s="413">
        <v>19</v>
      </c>
    </row>
    <row r="6" spans="1:13" x14ac:dyDescent="0.25">
      <c r="A6" s="224" t="s">
        <v>47</v>
      </c>
      <c r="B6" s="377">
        <f>+SUM(B2:B5)</f>
        <v>12877</v>
      </c>
      <c r="C6" s="377">
        <f t="shared" ref="C6:M6" si="0">+SUM(C2:C5)</f>
        <v>12889</v>
      </c>
      <c r="D6" s="377">
        <f t="shared" si="0"/>
        <v>12893</v>
      </c>
      <c r="E6" s="377">
        <f t="shared" si="0"/>
        <v>12893</v>
      </c>
      <c r="F6" s="377">
        <f t="shared" si="0"/>
        <v>12893</v>
      </c>
      <c r="G6" s="377">
        <f t="shared" si="0"/>
        <v>12893</v>
      </c>
      <c r="H6" s="377">
        <f t="shared" si="0"/>
        <v>12893</v>
      </c>
      <c r="I6" s="377">
        <f t="shared" si="0"/>
        <v>12893</v>
      </c>
      <c r="J6" s="377">
        <f t="shared" si="0"/>
        <v>12893</v>
      </c>
      <c r="K6" s="377">
        <f t="shared" si="0"/>
        <v>12893</v>
      </c>
      <c r="L6" s="377">
        <f t="shared" si="0"/>
        <v>12893</v>
      </c>
      <c r="M6" s="377">
        <f t="shared" si="0"/>
        <v>12894</v>
      </c>
    </row>
    <row r="7" spans="1:13" x14ac:dyDescent="0.25">
      <c r="A7" s="309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</row>
    <row r="8" spans="1:13" x14ac:dyDescent="0.25">
      <c r="A8" s="552" t="s">
        <v>827</v>
      </c>
      <c r="B8" s="552"/>
      <c r="C8" s="309" t="s">
        <v>841</v>
      </c>
      <c r="D8" s="309"/>
      <c r="E8" s="309"/>
      <c r="F8" s="309"/>
      <c r="G8" s="309"/>
      <c r="H8" s="309"/>
      <c r="I8" s="309"/>
      <c r="J8" s="309"/>
      <c r="K8" s="309"/>
      <c r="L8" s="309"/>
      <c r="M8" s="309"/>
    </row>
    <row r="9" spans="1:13" x14ac:dyDescent="0.25">
      <c r="A9" s="370"/>
      <c r="B9" s="371">
        <v>43831</v>
      </c>
      <c r="C9" s="371">
        <v>43862</v>
      </c>
      <c r="D9" s="371">
        <v>43891</v>
      </c>
      <c r="E9" s="371">
        <v>43922</v>
      </c>
      <c r="F9" s="371">
        <v>43952</v>
      </c>
      <c r="G9" s="371">
        <v>43983</v>
      </c>
      <c r="H9" s="371">
        <v>44013</v>
      </c>
      <c r="I9" s="371">
        <v>44044</v>
      </c>
      <c r="J9" s="371">
        <v>44075</v>
      </c>
      <c r="K9" s="371">
        <v>44105</v>
      </c>
      <c r="L9" s="371">
        <v>44136</v>
      </c>
      <c r="M9" s="371">
        <v>44166</v>
      </c>
    </row>
    <row r="10" spans="1:13" x14ac:dyDescent="0.25">
      <c r="A10" s="372" t="s">
        <v>803</v>
      </c>
      <c r="B10" s="378">
        <v>4.5119434978799999</v>
      </c>
      <c r="C10" s="378">
        <v>4.5456690077299999</v>
      </c>
      <c r="D10" s="378">
        <v>4.1705918976599996</v>
      </c>
      <c r="E10" s="378">
        <v>4.4939683308499996</v>
      </c>
      <c r="F10" s="378">
        <v>4.431002274239999</v>
      </c>
      <c r="G10" s="378">
        <v>4.8419590890299995</v>
      </c>
      <c r="H10" s="378">
        <v>8.040267492249999</v>
      </c>
      <c r="I10" s="378">
        <v>5.6573748193300002</v>
      </c>
      <c r="J10" s="378">
        <v>5.83755026567</v>
      </c>
      <c r="K10" s="378">
        <v>5.279507850329999</v>
      </c>
      <c r="L10" s="378">
        <v>5.1153652641700003</v>
      </c>
      <c r="M10" s="378">
        <v>5.1153652641700003</v>
      </c>
    </row>
    <row r="11" spans="1:13" s="414" customFormat="1" x14ac:dyDescent="0.25">
      <c r="A11" s="412" t="s">
        <v>804</v>
      </c>
      <c r="B11" s="415">
        <v>0.67528711974</v>
      </c>
      <c r="C11" s="415">
        <v>0.76689337371999999</v>
      </c>
      <c r="D11" s="415">
        <v>1.27111623198</v>
      </c>
      <c r="E11" s="415">
        <v>1.3096092222799998</v>
      </c>
      <c r="F11" s="415">
        <v>1.2100571675499998</v>
      </c>
      <c r="G11" s="415">
        <v>1.29562461296</v>
      </c>
      <c r="H11" s="415">
        <v>1.6488772569699999</v>
      </c>
      <c r="I11" s="415">
        <v>2.2018343598299999</v>
      </c>
      <c r="J11" s="415">
        <v>2.2949944592899998</v>
      </c>
      <c r="K11" s="415">
        <v>2.2549476235100001</v>
      </c>
      <c r="L11" s="415">
        <v>2.1846714302099999</v>
      </c>
      <c r="M11" s="415">
        <v>2.1846714302099999</v>
      </c>
    </row>
    <row r="12" spans="1:13" x14ac:dyDescent="0.25">
      <c r="A12" s="372" t="s">
        <v>750</v>
      </c>
      <c r="B12" s="391">
        <v>0</v>
      </c>
      <c r="C12" s="391">
        <v>0</v>
      </c>
      <c r="D12" s="391">
        <v>0</v>
      </c>
      <c r="E12" s="391">
        <v>0</v>
      </c>
      <c r="F12" s="391">
        <v>0</v>
      </c>
      <c r="G12" s="391">
        <v>0</v>
      </c>
      <c r="H12" s="391">
        <v>0</v>
      </c>
      <c r="I12" s="391">
        <v>0</v>
      </c>
      <c r="J12" s="391">
        <v>0</v>
      </c>
      <c r="K12" s="391">
        <v>0</v>
      </c>
      <c r="L12" s="391">
        <v>0</v>
      </c>
      <c r="M12" s="391">
        <v>0</v>
      </c>
    </row>
    <row r="13" spans="1:13" s="414" customFormat="1" x14ac:dyDescent="0.25">
      <c r="A13" s="412" t="s">
        <v>805</v>
      </c>
      <c r="B13" s="415">
        <v>97.389243080520004</v>
      </c>
      <c r="C13" s="415">
        <v>94.275901773320001</v>
      </c>
      <c r="D13" s="415">
        <v>98.493391552739993</v>
      </c>
      <c r="E13" s="415">
        <v>73.334443722000003</v>
      </c>
      <c r="F13" s="415">
        <v>46.031047870179997</v>
      </c>
      <c r="G13" s="415">
        <v>53.407222993079998</v>
      </c>
      <c r="H13" s="415">
        <v>90.807471459269991</v>
      </c>
      <c r="I13" s="415">
        <v>93.625582125269986</v>
      </c>
      <c r="J13" s="415">
        <v>99.730287869490013</v>
      </c>
      <c r="K13" s="415">
        <v>100.46168999986</v>
      </c>
      <c r="L13" s="415">
        <v>102.46449087957001</v>
      </c>
      <c r="M13" s="415">
        <v>102.46449087957001</v>
      </c>
    </row>
    <row r="14" spans="1:13" x14ac:dyDescent="0.25">
      <c r="A14" s="224" t="s">
        <v>47</v>
      </c>
      <c r="B14" s="380">
        <f>+SUM(B10:B13)</f>
        <v>102.57647369814001</v>
      </c>
      <c r="C14" s="380">
        <f t="shared" ref="C14:M14" si="1">+SUM(C10:C13)</f>
        <v>99.588464154770008</v>
      </c>
      <c r="D14" s="380">
        <f t="shared" si="1"/>
        <v>103.93509968238</v>
      </c>
      <c r="E14" s="380">
        <f t="shared" si="1"/>
        <v>79.138021275130001</v>
      </c>
      <c r="F14" s="380">
        <f t="shared" si="1"/>
        <v>51.672107311969995</v>
      </c>
      <c r="G14" s="380">
        <f t="shared" si="1"/>
        <v>59.544806695069994</v>
      </c>
      <c r="H14" s="380">
        <f t="shared" si="1"/>
        <v>100.49661620849</v>
      </c>
      <c r="I14" s="380">
        <f t="shared" si="1"/>
        <v>101.48479130442999</v>
      </c>
      <c r="J14" s="380">
        <f t="shared" si="1"/>
        <v>107.86283259445001</v>
      </c>
      <c r="K14" s="380">
        <f t="shared" si="1"/>
        <v>107.9961454737</v>
      </c>
      <c r="L14" s="380">
        <f t="shared" si="1"/>
        <v>109.76452757395001</v>
      </c>
      <c r="M14" s="380">
        <f t="shared" si="1"/>
        <v>109.76452757395001</v>
      </c>
    </row>
    <row r="15" spans="1:13" x14ac:dyDescent="0.25">
      <c r="A15" s="309"/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</row>
    <row r="16" spans="1:13" x14ac:dyDescent="0.25">
      <c r="A16" s="552" t="s">
        <v>828</v>
      </c>
      <c r="B16" s="552"/>
      <c r="C16" s="552"/>
      <c r="D16" s="309"/>
      <c r="H16" s="552" t="s">
        <v>829</v>
      </c>
      <c r="I16" s="552"/>
      <c r="J16" s="552"/>
      <c r="K16" s="309" t="s">
        <v>841</v>
      </c>
      <c r="L16" s="309"/>
      <c r="M16" s="309"/>
    </row>
    <row r="17" spans="1:13" x14ac:dyDescent="0.25">
      <c r="A17" s="370"/>
      <c r="B17" s="396">
        <v>2017</v>
      </c>
      <c r="C17" s="396">
        <v>2018</v>
      </c>
      <c r="D17" s="396">
        <v>2019</v>
      </c>
      <c r="E17" s="370">
        <v>2020</v>
      </c>
      <c r="H17" s="370"/>
      <c r="I17" s="370">
        <v>2018</v>
      </c>
      <c r="J17" s="370">
        <v>2019</v>
      </c>
      <c r="K17" s="370">
        <v>2020</v>
      </c>
      <c r="L17" s="309"/>
      <c r="M17" s="309"/>
    </row>
    <row r="18" spans="1:13" x14ac:dyDescent="0.25">
      <c r="A18" s="372" t="s">
        <v>803</v>
      </c>
      <c r="B18" s="397">
        <v>4216</v>
      </c>
      <c r="C18" s="397">
        <v>11714</v>
      </c>
      <c r="D18" s="397">
        <v>12815</v>
      </c>
      <c r="E18" s="398">
        <v>12846</v>
      </c>
      <c r="H18" s="372" t="s">
        <v>803</v>
      </c>
      <c r="I18" s="405">
        <v>35.909999999999997</v>
      </c>
      <c r="J18" s="405">
        <v>52.02</v>
      </c>
      <c r="K18" s="405">
        <v>62.04</v>
      </c>
      <c r="L18" s="309"/>
      <c r="M18" s="309"/>
    </row>
    <row r="19" spans="1:13" s="414" customFormat="1" x14ac:dyDescent="0.25">
      <c r="A19" s="412" t="s">
        <v>804</v>
      </c>
      <c r="B19" s="413" t="s">
        <v>830</v>
      </c>
      <c r="C19" s="416">
        <v>1</v>
      </c>
      <c r="D19" s="416">
        <v>19</v>
      </c>
      <c r="E19" s="416">
        <v>29</v>
      </c>
      <c r="H19" s="412" t="s">
        <v>804</v>
      </c>
      <c r="I19" s="417" t="s">
        <v>830</v>
      </c>
      <c r="J19" s="418">
        <v>3.98</v>
      </c>
      <c r="K19" s="418">
        <v>19.3</v>
      </c>
      <c r="L19" s="419"/>
      <c r="M19" s="419"/>
    </row>
    <row r="20" spans="1:13" x14ac:dyDescent="0.25">
      <c r="A20" s="372" t="s">
        <v>750</v>
      </c>
      <c r="B20" s="235" t="s">
        <v>830</v>
      </c>
      <c r="C20" s="235" t="s">
        <v>830</v>
      </c>
      <c r="D20" s="235" t="s">
        <v>830</v>
      </c>
      <c r="E20" s="399">
        <v>0</v>
      </c>
      <c r="H20" s="372" t="s">
        <v>750</v>
      </c>
      <c r="I20" s="405" t="s">
        <v>830</v>
      </c>
      <c r="J20" s="405" t="s">
        <v>830</v>
      </c>
      <c r="K20" s="405" t="s">
        <v>830</v>
      </c>
      <c r="L20" s="309"/>
      <c r="M20" s="309"/>
    </row>
    <row r="21" spans="1:13" s="414" customFormat="1" x14ac:dyDescent="0.25">
      <c r="A21" s="412" t="s">
        <v>805</v>
      </c>
      <c r="B21" s="413" t="s">
        <v>830</v>
      </c>
      <c r="C21" s="416">
        <v>11</v>
      </c>
      <c r="D21" s="416">
        <v>19</v>
      </c>
      <c r="E21" s="416">
        <v>19</v>
      </c>
      <c r="H21" s="412" t="s">
        <v>805</v>
      </c>
      <c r="I21" s="417">
        <v>252.01</v>
      </c>
      <c r="J21" s="417">
        <v>935.77</v>
      </c>
      <c r="K21" s="417">
        <v>1052.49</v>
      </c>
      <c r="L21" s="419"/>
      <c r="M21" s="419"/>
    </row>
    <row r="22" spans="1:13" x14ac:dyDescent="0.25">
      <c r="A22" s="224" t="s">
        <v>47</v>
      </c>
      <c r="B22" s="400">
        <f>+SUM(B18:B21)</f>
        <v>4216</v>
      </c>
      <c r="C22" s="400">
        <f>+SUM(C18:C21)</f>
        <v>11726</v>
      </c>
      <c r="D22" s="400">
        <f>+SUM(D18:D21)</f>
        <v>12853</v>
      </c>
      <c r="E22" s="400">
        <f>+SUM(E18:E21)</f>
        <v>12894</v>
      </c>
      <c r="H22" s="224" t="s">
        <v>47</v>
      </c>
      <c r="I22" s="407">
        <v>0.79</v>
      </c>
      <c r="J22" s="407">
        <f>+SUM(J18:J21)</f>
        <v>991.77</v>
      </c>
      <c r="K22" s="407">
        <f>+SUM(K18:K21)</f>
        <v>1133.83</v>
      </c>
      <c r="L22" s="309"/>
      <c r="M22" s="309"/>
    </row>
    <row r="23" spans="1:13" x14ac:dyDescent="0.25">
      <c r="A23" s="420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</row>
    <row r="24" spans="1:13" x14ac:dyDescent="0.25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</row>
    <row r="25" spans="1:13" x14ac:dyDescent="0.2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</row>
    <row r="26" spans="1:13" x14ac:dyDescent="0.2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</row>
    <row r="27" spans="1:13" x14ac:dyDescent="0.2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</row>
  </sheetData>
  <mergeCells count="3">
    <mergeCell ref="A8:B8"/>
    <mergeCell ref="A16:C16"/>
    <mergeCell ref="H16:J16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opLeftCell="A13" workbookViewId="0">
      <selection activeCell="D14" sqref="D14"/>
    </sheetView>
  </sheetViews>
  <sheetFormatPr baseColWidth="10" defaultRowHeight="15" x14ac:dyDescent="0.25"/>
  <cols>
    <col min="1" max="1" width="25" customWidth="1"/>
  </cols>
  <sheetData>
    <row r="1" spans="1:6" hidden="1" x14ac:dyDescent="0.25">
      <c r="A1" s="549" t="s">
        <v>831</v>
      </c>
      <c r="B1" s="362">
        <v>2021</v>
      </c>
      <c r="C1" s="362">
        <v>2022</v>
      </c>
      <c r="D1" s="362">
        <v>2023</v>
      </c>
      <c r="E1" s="362">
        <v>2024</v>
      </c>
      <c r="F1" s="362">
        <v>2025</v>
      </c>
    </row>
    <row r="2" spans="1:6" hidden="1" x14ac:dyDescent="0.25">
      <c r="A2" s="549"/>
      <c r="B2" s="362"/>
      <c r="C2" s="362"/>
      <c r="D2" s="362"/>
      <c r="E2" s="362"/>
      <c r="F2" s="362"/>
    </row>
    <row r="3" spans="1:6" ht="22.5" hidden="1" x14ac:dyDescent="0.25">
      <c r="A3" s="341" t="s">
        <v>832</v>
      </c>
      <c r="B3" s="401">
        <v>37.1</v>
      </c>
      <c r="C3" s="402">
        <v>39.700000000000003</v>
      </c>
      <c r="D3" s="401">
        <v>38.6</v>
      </c>
      <c r="E3" s="402"/>
      <c r="F3" s="401"/>
    </row>
    <row r="4" spans="1:6" ht="22.5" hidden="1" x14ac:dyDescent="0.25">
      <c r="A4" s="341" t="s">
        <v>833</v>
      </c>
      <c r="B4" s="401"/>
      <c r="C4" s="402"/>
      <c r="D4" s="401"/>
      <c r="E4" s="402"/>
      <c r="F4" s="401"/>
    </row>
    <row r="5" spans="1:6" hidden="1" x14ac:dyDescent="0.25">
      <c r="A5" s="341" t="s">
        <v>834</v>
      </c>
      <c r="B5" s="401">
        <v>0.82499999999999996</v>
      </c>
      <c r="C5" s="402">
        <v>1.2829999999999999</v>
      </c>
      <c r="D5" s="401">
        <v>0.30399999999999999</v>
      </c>
      <c r="E5" s="402">
        <v>14.694000000000001</v>
      </c>
      <c r="F5" s="401">
        <v>0.374</v>
      </c>
    </row>
    <row r="6" spans="1:6" hidden="1" x14ac:dyDescent="0.25">
      <c r="A6" s="341" t="s">
        <v>835</v>
      </c>
      <c r="B6" s="401"/>
      <c r="C6" s="402"/>
      <c r="D6" s="401"/>
      <c r="E6" s="402"/>
      <c r="F6" s="401"/>
    </row>
    <row r="7" spans="1:6" hidden="1" x14ac:dyDescent="0.25">
      <c r="A7" s="341" t="s">
        <v>836</v>
      </c>
      <c r="B7" s="401">
        <v>0</v>
      </c>
      <c r="C7" s="402">
        <v>0</v>
      </c>
      <c r="D7" s="401">
        <v>0</v>
      </c>
      <c r="E7" s="402">
        <v>0</v>
      </c>
      <c r="F7" s="401">
        <v>0</v>
      </c>
    </row>
    <row r="8" spans="1:6" hidden="1" x14ac:dyDescent="0.25">
      <c r="A8" s="341" t="s">
        <v>837</v>
      </c>
      <c r="B8" s="401"/>
      <c r="C8" s="402"/>
      <c r="D8" s="401"/>
      <c r="E8" s="402"/>
      <c r="F8" s="401"/>
    </row>
    <row r="9" spans="1:6" ht="22.5" hidden="1" x14ac:dyDescent="0.25">
      <c r="A9" s="341" t="s">
        <v>838</v>
      </c>
      <c r="B9" s="401"/>
      <c r="C9" s="402"/>
      <c r="D9" s="401"/>
      <c r="E9" s="402"/>
      <c r="F9" s="401"/>
    </row>
    <row r="10" spans="1:6" hidden="1" x14ac:dyDescent="0.25">
      <c r="A10" s="341" t="s">
        <v>839</v>
      </c>
      <c r="B10" s="401"/>
      <c r="C10" s="402"/>
      <c r="D10" s="401"/>
      <c r="E10" s="402"/>
      <c r="F10" s="401"/>
    </row>
    <row r="11" spans="1:6" hidden="1" x14ac:dyDescent="0.25">
      <c r="A11" s="341" t="s">
        <v>47</v>
      </c>
      <c r="B11" s="366">
        <f>+SUM(B3:B10)</f>
        <v>37.925000000000004</v>
      </c>
      <c r="C11" s="366">
        <f t="shared" ref="C11:F11" si="0">+SUM(C3:C10)</f>
        <v>40.983000000000004</v>
      </c>
      <c r="D11" s="366">
        <f t="shared" si="0"/>
        <v>38.904000000000003</v>
      </c>
      <c r="E11" s="366">
        <f t="shared" si="0"/>
        <v>14.694000000000001</v>
      </c>
      <c r="F11" s="366">
        <f t="shared" si="0"/>
        <v>0.374</v>
      </c>
    </row>
    <row r="12" spans="1:6" ht="25.5" hidden="1" customHeight="1" x14ac:dyDescent="0.25">
      <c r="A12" s="556" t="s">
        <v>840</v>
      </c>
      <c r="B12" s="556"/>
      <c r="C12" s="556"/>
      <c r="D12" s="556"/>
      <c r="E12" s="556"/>
      <c r="F12" s="556"/>
    </row>
    <row r="14" spans="1:6" hidden="1" x14ac:dyDescent="0.25"/>
    <row r="15" spans="1:6" x14ac:dyDescent="0.25">
      <c r="A15" s="549" t="s">
        <v>662</v>
      </c>
      <c r="B15" s="301">
        <v>2020</v>
      </c>
    </row>
    <row r="16" spans="1:6" x14ac:dyDescent="0.25">
      <c r="A16" s="549"/>
      <c r="B16" s="301" t="s">
        <v>831</v>
      </c>
    </row>
    <row r="17" spans="1:2" ht="22.5" x14ac:dyDescent="0.25">
      <c r="A17" s="341" t="s">
        <v>832</v>
      </c>
      <c r="B17" s="401">
        <v>26.6</v>
      </c>
    </row>
    <row r="18" spans="1:2" ht="22.5" x14ac:dyDescent="0.25">
      <c r="A18" s="341" t="s">
        <v>833</v>
      </c>
      <c r="B18" s="401">
        <v>90.28</v>
      </c>
    </row>
    <row r="19" spans="1:2" x14ac:dyDescent="0.25">
      <c r="A19" s="341" t="s">
        <v>834</v>
      </c>
      <c r="B19" s="401">
        <v>1.5</v>
      </c>
    </row>
    <row r="20" spans="1:2" x14ac:dyDescent="0.25">
      <c r="A20" s="341" t="s">
        <v>835</v>
      </c>
      <c r="B20" s="401">
        <v>37.76</v>
      </c>
    </row>
    <row r="21" spans="1:2" x14ac:dyDescent="0.25">
      <c r="A21" s="341" t="s">
        <v>836</v>
      </c>
      <c r="B21" s="401">
        <v>0.13</v>
      </c>
    </row>
    <row r="22" spans="1:2" x14ac:dyDescent="0.25">
      <c r="A22" s="341" t="s">
        <v>839</v>
      </c>
      <c r="B22" s="401">
        <v>6.41</v>
      </c>
    </row>
    <row r="23" spans="1:2" x14ac:dyDescent="0.25">
      <c r="A23" s="341" t="s">
        <v>47</v>
      </c>
      <c r="B23" s="366">
        <f>+SUM(B17:B22)</f>
        <v>162.67999999999998</v>
      </c>
    </row>
  </sheetData>
  <mergeCells count="3">
    <mergeCell ref="A1:A2"/>
    <mergeCell ref="A12:F12"/>
    <mergeCell ref="A15:A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L57"/>
  <sheetViews>
    <sheetView showGridLines="0" workbookViewId="0">
      <selection activeCell="E37" sqref="E37:K37"/>
    </sheetView>
  </sheetViews>
  <sheetFormatPr baseColWidth="10" defaultColWidth="9.5703125" defaultRowHeight="14.45" customHeight="1" x14ac:dyDescent="0.25"/>
  <cols>
    <col min="1" max="1" width="10.5703125" style="1" customWidth="1"/>
    <col min="2" max="16384" width="9.5703125" style="3"/>
  </cols>
  <sheetData>
    <row r="2" spans="1:11" ht="14.45" customHeight="1" x14ac:dyDescent="0.2">
      <c r="A2" s="463" t="s">
        <v>514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</row>
    <row r="3" spans="1:11" ht="14.45" customHeight="1" x14ac:dyDescent="0.2">
      <c r="A3" s="109"/>
      <c r="B3" s="109"/>
      <c r="C3" s="109"/>
      <c r="D3" s="109"/>
      <c r="E3" s="109"/>
    </row>
    <row r="4" spans="1:11" s="2" customFormat="1" ht="14.45" customHeight="1" x14ac:dyDescent="0.25">
      <c r="A4" s="465" t="s">
        <v>152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</row>
    <row r="5" spans="1:11" s="2" customFormat="1" ht="14.45" customHeight="1" x14ac:dyDescent="0.25">
      <c r="A5" s="465" t="s">
        <v>153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</row>
    <row r="6" spans="1:11" s="2" customFormat="1" ht="14.45" customHeight="1" x14ac:dyDescent="0.25">
      <c r="A6" s="21" t="s">
        <v>3</v>
      </c>
      <c r="B6" s="59" t="s">
        <v>4</v>
      </c>
      <c r="C6" s="59">
        <v>2012</v>
      </c>
      <c r="D6" s="59">
        <v>2013</v>
      </c>
      <c r="E6" s="59">
        <v>2014</v>
      </c>
      <c r="F6" s="59">
        <v>2015</v>
      </c>
      <c r="G6" s="59">
        <v>2016</v>
      </c>
      <c r="H6" s="59">
        <v>2017</v>
      </c>
      <c r="I6" s="59">
        <v>2018</v>
      </c>
      <c r="J6" s="59">
        <v>2019</v>
      </c>
      <c r="K6" s="59">
        <v>2020</v>
      </c>
    </row>
    <row r="7" spans="1:11" ht="14.45" customHeight="1" x14ac:dyDescent="0.25">
      <c r="A7" s="9" t="s">
        <v>62</v>
      </c>
      <c r="B7" s="52" t="s">
        <v>154</v>
      </c>
      <c r="C7" s="52">
        <v>12</v>
      </c>
      <c r="D7" s="52">
        <v>15</v>
      </c>
      <c r="E7" s="52">
        <v>25</v>
      </c>
      <c r="F7" s="52">
        <v>2</v>
      </c>
      <c r="G7" s="52" t="s">
        <v>7</v>
      </c>
      <c r="H7" s="52" t="s">
        <v>7</v>
      </c>
      <c r="I7" s="52" t="s">
        <v>7</v>
      </c>
      <c r="J7" s="52" t="s">
        <v>7</v>
      </c>
      <c r="K7" s="52" t="s">
        <v>7</v>
      </c>
    </row>
    <row r="8" spans="1:11" ht="14.45" customHeight="1" x14ac:dyDescent="0.25">
      <c r="A8" s="9" t="s">
        <v>155</v>
      </c>
      <c r="B8" s="52" t="s">
        <v>156</v>
      </c>
      <c r="C8" s="52" t="s">
        <v>7</v>
      </c>
      <c r="D8" s="52" t="s">
        <v>7</v>
      </c>
      <c r="E8" s="52" t="s">
        <v>7</v>
      </c>
      <c r="F8" s="52" t="s">
        <v>7</v>
      </c>
      <c r="G8" s="52" t="s">
        <v>7</v>
      </c>
      <c r="H8" s="52" t="s">
        <v>7</v>
      </c>
      <c r="I8" s="52" t="s">
        <v>7</v>
      </c>
      <c r="J8" s="52">
        <v>4</v>
      </c>
      <c r="K8" s="52">
        <v>2</v>
      </c>
    </row>
    <row r="9" spans="1:11" ht="14.45" customHeight="1" x14ac:dyDescent="0.25">
      <c r="A9" s="9" t="s">
        <v>62</v>
      </c>
      <c r="B9" s="52" t="s">
        <v>64</v>
      </c>
      <c r="C9" s="52">
        <v>3</v>
      </c>
      <c r="D9" s="52" t="s">
        <v>7</v>
      </c>
      <c r="E9" s="52" t="s">
        <v>7</v>
      </c>
      <c r="F9" s="52" t="s">
        <v>7</v>
      </c>
      <c r="G9" s="52" t="s">
        <v>7</v>
      </c>
      <c r="H9" s="52" t="s">
        <v>7</v>
      </c>
      <c r="I9" s="52" t="s">
        <v>7</v>
      </c>
      <c r="J9" s="52" t="s">
        <v>7</v>
      </c>
      <c r="K9" s="52" t="s">
        <v>7</v>
      </c>
    </row>
    <row r="10" spans="1:11" s="121" customFormat="1" ht="14.45" customHeight="1" x14ac:dyDescent="0.25">
      <c r="A10" s="119" t="s">
        <v>62</v>
      </c>
      <c r="B10" s="120" t="s">
        <v>63</v>
      </c>
      <c r="C10" s="120" t="s">
        <v>7</v>
      </c>
      <c r="D10" s="120" t="s">
        <v>7</v>
      </c>
      <c r="E10" s="120" t="s">
        <v>7</v>
      </c>
      <c r="F10" s="120" t="s">
        <v>7</v>
      </c>
      <c r="G10" s="120">
        <v>11</v>
      </c>
      <c r="H10" s="120">
        <v>22</v>
      </c>
      <c r="I10" s="120">
        <v>33</v>
      </c>
      <c r="J10" s="120">
        <v>33</v>
      </c>
      <c r="K10" s="120">
        <v>18</v>
      </c>
    </row>
    <row r="11" spans="1:11" s="121" customFormat="1" ht="14.45" customHeight="1" x14ac:dyDescent="0.25">
      <c r="A11" s="119" t="s">
        <v>62</v>
      </c>
      <c r="B11" s="120" t="s">
        <v>157</v>
      </c>
      <c r="C11" s="120" t="s">
        <v>7</v>
      </c>
      <c r="D11" s="120">
        <v>1</v>
      </c>
      <c r="E11" s="120">
        <v>1</v>
      </c>
      <c r="F11" s="120">
        <v>1</v>
      </c>
      <c r="G11" s="120" t="s">
        <v>7</v>
      </c>
      <c r="H11" s="120" t="s">
        <v>7</v>
      </c>
      <c r="I11" s="120" t="s">
        <v>7</v>
      </c>
      <c r="J11" s="120" t="s">
        <v>7</v>
      </c>
      <c r="K11" s="120" t="s">
        <v>7</v>
      </c>
    </row>
    <row r="12" spans="1:11" s="121" customFormat="1" ht="14.45" customHeight="1" x14ac:dyDescent="0.25">
      <c r="A12" s="119" t="s">
        <v>158</v>
      </c>
      <c r="B12" s="120" t="s">
        <v>159</v>
      </c>
      <c r="C12" s="120" t="s">
        <v>7</v>
      </c>
      <c r="D12" s="120" t="s">
        <v>7</v>
      </c>
      <c r="E12" s="120" t="s">
        <v>7</v>
      </c>
      <c r="F12" s="120" t="s">
        <v>7</v>
      </c>
      <c r="G12" s="120">
        <v>23</v>
      </c>
      <c r="H12" s="120">
        <v>16</v>
      </c>
      <c r="I12" s="120">
        <v>18</v>
      </c>
      <c r="J12" s="120">
        <v>22</v>
      </c>
      <c r="K12" s="120" t="s">
        <v>7</v>
      </c>
    </row>
    <row r="13" spans="1:11" s="121" customFormat="1" ht="14.45" customHeight="1" x14ac:dyDescent="0.25">
      <c r="A13" s="119" t="s">
        <v>26</v>
      </c>
      <c r="B13" s="120" t="s">
        <v>65</v>
      </c>
      <c r="C13" s="120">
        <v>150</v>
      </c>
      <c r="D13" s="120" t="s">
        <v>7</v>
      </c>
      <c r="E13" s="120">
        <v>1</v>
      </c>
      <c r="F13" s="120">
        <v>62</v>
      </c>
      <c r="G13" s="120" t="s">
        <v>7</v>
      </c>
      <c r="H13" s="120">
        <v>92</v>
      </c>
      <c r="I13" s="120">
        <v>112</v>
      </c>
      <c r="J13" s="120">
        <v>118</v>
      </c>
      <c r="K13" s="120">
        <v>15</v>
      </c>
    </row>
    <row r="14" spans="1:11" s="121" customFormat="1" ht="14.45" customHeight="1" x14ac:dyDescent="0.25">
      <c r="A14" s="119" t="s">
        <v>66</v>
      </c>
      <c r="B14" s="120" t="s">
        <v>11</v>
      </c>
      <c r="C14" s="120">
        <v>11</v>
      </c>
      <c r="D14" s="120">
        <v>39</v>
      </c>
      <c r="E14" s="120">
        <v>43</v>
      </c>
      <c r="F14" s="120">
        <v>11</v>
      </c>
      <c r="G14" s="120">
        <v>8</v>
      </c>
      <c r="H14" s="120">
        <v>5</v>
      </c>
      <c r="I14" s="120">
        <v>6</v>
      </c>
      <c r="J14" s="120">
        <v>9</v>
      </c>
      <c r="K14" s="120">
        <v>2</v>
      </c>
    </row>
    <row r="15" spans="1:11" s="121" customFormat="1" ht="14.45" customHeight="1" x14ac:dyDescent="0.25">
      <c r="A15" s="119" t="s">
        <v>155</v>
      </c>
      <c r="B15" s="120" t="s">
        <v>160</v>
      </c>
      <c r="C15" s="120">
        <v>1</v>
      </c>
      <c r="D15" s="120" t="s">
        <v>7</v>
      </c>
      <c r="E15" s="120" t="s">
        <v>7</v>
      </c>
      <c r="F15" s="120" t="s">
        <v>7</v>
      </c>
      <c r="G15" s="120" t="s">
        <v>7</v>
      </c>
      <c r="H15" s="120" t="s">
        <v>7</v>
      </c>
      <c r="I15" s="120" t="s">
        <v>7</v>
      </c>
      <c r="J15" s="120">
        <v>1</v>
      </c>
      <c r="K15" s="120" t="s">
        <v>7</v>
      </c>
    </row>
    <row r="16" spans="1:11" s="121" customFormat="1" ht="14.45" customHeight="1" x14ac:dyDescent="0.25">
      <c r="A16" s="119" t="s">
        <v>155</v>
      </c>
      <c r="B16" s="120" t="s">
        <v>161</v>
      </c>
      <c r="C16" s="120" t="s">
        <v>7</v>
      </c>
      <c r="D16" s="120" t="s">
        <v>7</v>
      </c>
      <c r="E16" s="120" t="s">
        <v>7</v>
      </c>
      <c r="F16" s="120" t="s">
        <v>7</v>
      </c>
      <c r="G16" s="120" t="s">
        <v>7</v>
      </c>
      <c r="H16" s="120" t="s">
        <v>7</v>
      </c>
      <c r="I16" s="120" t="s">
        <v>7</v>
      </c>
      <c r="J16" s="120" t="s">
        <v>7</v>
      </c>
      <c r="K16" s="120" t="s">
        <v>7</v>
      </c>
    </row>
    <row r="17" spans="1:11" s="121" customFormat="1" ht="14.45" customHeight="1" x14ac:dyDescent="0.25">
      <c r="A17" s="119" t="s">
        <v>162</v>
      </c>
      <c r="B17" s="120" t="s">
        <v>163</v>
      </c>
      <c r="C17" s="120" t="s">
        <v>7</v>
      </c>
      <c r="D17" s="120" t="s">
        <v>7</v>
      </c>
      <c r="E17" s="120" t="s">
        <v>7</v>
      </c>
      <c r="F17" s="120" t="s">
        <v>7</v>
      </c>
      <c r="G17" s="120" t="s">
        <v>7</v>
      </c>
      <c r="H17" s="120" t="s">
        <v>7</v>
      </c>
      <c r="I17" s="120" t="s">
        <v>7</v>
      </c>
      <c r="J17" s="120" t="s">
        <v>7</v>
      </c>
      <c r="K17" s="120" t="s">
        <v>7</v>
      </c>
    </row>
    <row r="18" spans="1:11" ht="14.45" customHeight="1" x14ac:dyDescent="0.25">
      <c r="A18" s="439" t="s">
        <v>12</v>
      </c>
      <c r="B18" s="439"/>
      <c r="C18" s="54">
        <v>177</v>
      </c>
      <c r="D18" s="54">
        <v>55</v>
      </c>
      <c r="E18" s="54">
        <v>70</v>
      </c>
      <c r="F18" s="54">
        <v>76</v>
      </c>
      <c r="G18" s="54">
        <v>42</v>
      </c>
      <c r="H18" s="54">
        <f>+SUM(H7:H15)</f>
        <v>135</v>
      </c>
      <c r="I18" s="54">
        <v>169</v>
      </c>
      <c r="J18" s="54">
        <v>187</v>
      </c>
      <c r="K18" s="54">
        <v>37</v>
      </c>
    </row>
    <row r="19" spans="1:11" s="121" customFormat="1" ht="14.45" customHeight="1" x14ac:dyDescent="0.25">
      <c r="A19" s="119" t="s">
        <v>75</v>
      </c>
      <c r="B19" s="120" t="s">
        <v>76</v>
      </c>
      <c r="C19" s="120">
        <v>19</v>
      </c>
      <c r="D19" s="120">
        <v>17</v>
      </c>
      <c r="E19" s="120">
        <v>13</v>
      </c>
      <c r="F19" s="120" t="s">
        <v>7</v>
      </c>
      <c r="G19" s="120" t="s">
        <v>7</v>
      </c>
      <c r="H19" s="120" t="s">
        <v>7</v>
      </c>
      <c r="I19" s="120" t="s">
        <v>7</v>
      </c>
      <c r="J19" s="120" t="s">
        <v>7</v>
      </c>
      <c r="K19" s="52" t="s">
        <v>7</v>
      </c>
    </row>
    <row r="20" spans="1:11" ht="14.45" customHeight="1" x14ac:dyDescent="0.25">
      <c r="A20" s="9" t="s">
        <v>51</v>
      </c>
      <c r="B20" s="52" t="s">
        <v>52</v>
      </c>
      <c r="C20" s="52" t="s">
        <v>7</v>
      </c>
      <c r="D20" s="52">
        <v>3</v>
      </c>
      <c r="E20" s="52">
        <v>9</v>
      </c>
      <c r="F20" s="52">
        <v>3</v>
      </c>
      <c r="G20" s="52" t="s">
        <v>7</v>
      </c>
      <c r="H20" s="52" t="s">
        <v>7</v>
      </c>
      <c r="I20" s="52" t="s">
        <v>7</v>
      </c>
      <c r="J20" s="52" t="s">
        <v>7</v>
      </c>
      <c r="K20" s="52" t="s">
        <v>7</v>
      </c>
    </row>
    <row r="21" spans="1:11" ht="14.45" customHeight="1" x14ac:dyDescent="0.25">
      <c r="A21" s="9" t="s">
        <v>75</v>
      </c>
      <c r="B21" s="52" t="s">
        <v>164</v>
      </c>
      <c r="C21" s="52" t="s">
        <v>7</v>
      </c>
      <c r="D21" s="52" t="s">
        <v>7</v>
      </c>
      <c r="E21" s="52" t="s">
        <v>7</v>
      </c>
      <c r="F21" s="52" t="s">
        <v>7</v>
      </c>
      <c r="G21" s="52" t="s">
        <v>7</v>
      </c>
      <c r="H21" s="52" t="s">
        <v>7</v>
      </c>
      <c r="I21" s="52" t="s">
        <v>7</v>
      </c>
      <c r="J21" s="52" t="s">
        <v>7</v>
      </c>
      <c r="K21" s="52" t="s">
        <v>7</v>
      </c>
    </row>
    <row r="22" spans="1:11" ht="14.45" customHeight="1" x14ac:dyDescent="0.25">
      <c r="A22" s="439" t="s">
        <v>21</v>
      </c>
      <c r="B22" s="439"/>
      <c r="C22" s="54">
        <v>19</v>
      </c>
      <c r="D22" s="54">
        <v>20</v>
      </c>
      <c r="E22" s="54">
        <v>22</v>
      </c>
      <c r="F22" s="54">
        <v>3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</row>
    <row r="23" spans="1:11" ht="14.45" customHeight="1" x14ac:dyDescent="0.25">
      <c r="A23" s="9" t="s">
        <v>29</v>
      </c>
      <c r="B23" s="52">
        <v>8</v>
      </c>
      <c r="C23" s="52">
        <v>1</v>
      </c>
      <c r="D23" s="52">
        <v>1</v>
      </c>
      <c r="E23" s="52">
        <v>3</v>
      </c>
      <c r="F23" s="52" t="s">
        <v>7</v>
      </c>
      <c r="G23" s="52" t="s">
        <v>7</v>
      </c>
      <c r="H23" s="52" t="s">
        <v>7</v>
      </c>
      <c r="I23" s="52" t="s">
        <v>7</v>
      </c>
      <c r="J23" s="52" t="s">
        <v>7</v>
      </c>
      <c r="K23" s="52" t="s">
        <v>7</v>
      </c>
    </row>
    <row r="24" spans="1:11" ht="14.45" customHeight="1" x14ac:dyDescent="0.25">
      <c r="A24" s="9" t="s">
        <v>29</v>
      </c>
      <c r="B24" s="52">
        <v>56</v>
      </c>
      <c r="C24" s="52" t="s">
        <v>7</v>
      </c>
      <c r="D24" s="52" t="s">
        <v>7</v>
      </c>
      <c r="E24" s="52" t="s">
        <v>7</v>
      </c>
      <c r="F24" s="52" t="s">
        <v>7</v>
      </c>
      <c r="G24" s="52" t="s">
        <v>7</v>
      </c>
      <c r="H24" s="52" t="s">
        <v>7</v>
      </c>
      <c r="I24" s="52" t="s">
        <v>7</v>
      </c>
      <c r="J24" s="52" t="s">
        <v>7</v>
      </c>
      <c r="K24" s="52" t="s">
        <v>7</v>
      </c>
    </row>
    <row r="25" spans="1:11" ht="14.45" customHeight="1" x14ac:dyDescent="0.25">
      <c r="A25" s="9" t="s">
        <v>30</v>
      </c>
      <c r="B25" s="52">
        <v>57</v>
      </c>
      <c r="C25" s="52" t="s">
        <v>7</v>
      </c>
      <c r="D25" s="52" t="s">
        <v>7</v>
      </c>
      <c r="E25" s="52" t="s">
        <v>7</v>
      </c>
      <c r="F25" s="52" t="s">
        <v>7</v>
      </c>
      <c r="G25" s="52">
        <v>2</v>
      </c>
      <c r="H25" s="52" t="s">
        <v>7</v>
      </c>
      <c r="I25" s="52" t="s">
        <v>7</v>
      </c>
      <c r="J25" s="52" t="s">
        <v>7</v>
      </c>
      <c r="K25" s="52" t="s">
        <v>7</v>
      </c>
    </row>
    <row r="26" spans="1:11" ht="14.45" customHeight="1" x14ac:dyDescent="0.25">
      <c r="A26" s="9" t="s">
        <v>165</v>
      </c>
      <c r="B26" s="52">
        <v>67</v>
      </c>
      <c r="C26" s="52" t="s">
        <v>7</v>
      </c>
      <c r="D26" s="52">
        <v>8</v>
      </c>
      <c r="E26" s="52">
        <v>4</v>
      </c>
      <c r="F26" s="52">
        <v>1</v>
      </c>
      <c r="G26" s="52" t="s">
        <v>7</v>
      </c>
      <c r="H26" s="52" t="s">
        <v>7</v>
      </c>
      <c r="I26" s="52" t="s">
        <v>7</v>
      </c>
      <c r="J26" s="52" t="s">
        <v>7</v>
      </c>
      <c r="K26" s="52" t="s">
        <v>7</v>
      </c>
    </row>
    <row r="27" spans="1:11" ht="14.45" customHeight="1" x14ac:dyDescent="0.25">
      <c r="A27" s="9" t="s">
        <v>29</v>
      </c>
      <c r="B27" s="52">
        <v>88</v>
      </c>
      <c r="C27" s="52" t="s">
        <v>7</v>
      </c>
      <c r="D27" s="52" t="s">
        <v>7</v>
      </c>
      <c r="E27" s="52" t="s">
        <v>7</v>
      </c>
      <c r="F27" s="52" t="s">
        <v>7</v>
      </c>
      <c r="G27" s="52" t="s">
        <v>7</v>
      </c>
      <c r="H27" s="52" t="s">
        <v>7</v>
      </c>
      <c r="I27" s="52" t="s">
        <v>7</v>
      </c>
      <c r="J27" s="52" t="s">
        <v>7</v>
      </c>
      <c r="K27" s="52" t="s">
        <v>7</v>
      </c>
    </row>
    <row r="28" spans="1:11" ht="14.45" customHeight="1" x14ac:dyDescent="0.25">
      <c r="A28" s="9" t="s">
        <v>27</v>
      </c>
      <c r="B28" s="52">
        <v>131</v>
      </c>
      <c r="C28" s="52" t="s">
        <v>7</v>
      </c>
      <c r="D28" s="52" t="s">
        <v>7</v>
      </c>
      <c r="E28" s="52" t="s">
        <v>7</v>
      </c>
      <c r="F28" s="52" t="s">
        <v>7</v>
      </c>
      <c r="G28" s="52" t="s">
        <v>7</v>
      </c>
      <c r="H28" s="52" t="s">
        <v>7</v>
      </c>
      <c r="I28" s="52">
        <v>1</v>
      </c>
      <c r="J28" s="52" t="s">
        <v>7</v>
      </c>
      <c r="K28" s="52" t="s">
        <v>7</v>
      </c>
    </row>
    <row r="29" spans="1:11" ht="14.45" customHeight="1" x14ac:dyDescent="0.25">
      <c r="A29" s="9" t="s">
        <v>25</v>
      </c>
      <c r="B29" s="52">
        <v>95</v>
      </c>
      <c r="C29" s="52" t="s">
        <v>7</v>
      </c>
      <c r="D29" s="52" t="s">
        <v>7</v>
      </c>
      <c r="E29" s="52">
        <v>1</v>
      </c>
      <c r="F29" s="52" t="s">
        <v>7</v>
      </c>
      <c r="G29" s="52" t="s">
        <v>7</v>
      </c>
      <c r="H29" s="52" t="s">
        <v>7</v>
      </c>
      <c r="I29" s="52"/>
      <c r="J29" s="52" t="s">
        <v>7</v>
      </c>
      <c r="K29" s="52">
        <v>1</v>
      </c>
    </row>
    <row r="30" spans="1:11" ht="14.45" customHeight="1" x14ac:dyDescent="0.25">
      <c r="A30" s="439" t="s">
        <v>31</v>
      </c>
      <c r="B30" s="439"/>
      <c r="C30" s="122">
        <v>1</v>
      </c>
      <c r="D30" s="122">
        <v>9</v>
      </c>
      <c r="E30" s="122">
        <v>8</v>
      </c>
      <c r="F30" s="122">
        <v>1</v>
      </c>
      <c r="G30" s="122">
        <v>2</v>
      </c>
      <c r="H30" s="122">
        <v>0</v>
      </c>
      <c r="I30" s="122">
        <v>1</v>
      </c>
      <c r="J30" s="122">
        <v>0</v>
      </c>
      <c r="K30" s="122">
        <v>1</v>
      </c>
    </row>
    <row r="31" spans="1:11" ht="14.45" customHeight="1" x14ac:dyDescent="0.25">
      <c r="A31" s="432" t="s">
        <v>166</v>
      </c>
      <c r="B31" s="432"/>
      <c r="C31" s="108">
        <f t="shared" ref="C31:J31" si="0">+C18+C22+C30</f>
        <v>197</v>
      </c>
      <c r="D31" s="108">
        <f t="shared" si="0"/>
        <v>84</v>
      </c>
      <c r="E31" s="108">
        <f t="shared" si="0"/>
        <v>100</v>
      </c>
      <c r="F31" s="108">
        <f t="shared" si="0"/>
        <v>80</v>
      </c>
      <c r="G31" s="108">
        <f t="shared" si="0"/>
        <v>44</v>
      </c>
      <c r="H31" s="108">
        <f t="shared" si="0"/>
        <v>135</v>
      </c>
      <c r="I31" s="108">
        <f t="shared" si="0"/>
        <v>170</v>
      </c>
      <c r="J31" s="108">
        <f t="shared" si="0"/>
        <v>187</v>
      </c>
      <c r="K31" s="108">
        <v>38</v>
      </c>
    </row>
    <row r="32" spans="1:11" ht="14.45" customHeight="1" x14ac:dyDescent="0.25">
      <c r="A32" s="1" t="s">
        <v>513</v>
      </c>
    </row>
    <row r="36" spans="1:12" ht="14.4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4.45" customHeight="1" x14ac:dyDescent="0.2">
      <c r="E37" s="436" t="s">
        <v>515</v>
      </c>
      <c r="F37" s="436"/>
      <c r="G37" s="436"/>
      <c r="H37" s="436"/>
      <c r="I37" s="436"/>
      <c r="J37" s="436"/>
      <c r="K37" s="436"/>
      <c r="L37" s="5"/>
    </row>
    <row r="38" spans="1:12" ht="14.45" customHeight="1" x14ac:dyDescent="0.2">
      <c r="A38" s="2"/>
      <c r="I38" s="4"/>
      <c r="J38" s="5"/>
      <c r="K38" s="5"/>
      <c r="L38" s="5"/>
    </row>
    <row r="39" spans="1:12" ht="14.45" customHeight="1" x14ac:dyDescent="0.2">
      <c r="A39" s="2" t="s">
        <v>39</v>
      </c>
      <c r="B39" s="5"/>
      <c r="C39" s="38">
        <f>+SUM(H31:K31)</f>
        <v>530</v>
      </c>
      <c r="I39" s="4"/>
      <c r="J39" s="5"/>
      <c r="K39" s="5"/>
      <c r="L39" s="5"/>
    </row>
    <row r="40" spans="1:12" ht="14.45" customHeight="1" x14ac:dyDescent="0.2">
      <c r="A40" s="2">
        <v>2021</v>
      </c>
      <c r="B40" s="5"/>
      <c r="C40" s="38">
        <v>89</v>
      </c>
      <c r="I40" s="4"/>
      <c r="J40" s="5"/>
      <c r="K40" s="5"/>
      <c r="L40" s="5"/>
    </row>
    <row r="41" spans="1:12" ht="14.45" customHeight="1" x14ac:dyDescent="0.2">
      <c r="A41" s="2">
        <v>2022</v>
      </c>
      <c r="B41" s="5"/>
      <c r="C41" s="38">
        <v>76</v>
      </c>
      <c r="I41" s="4"/>
      <c r="J41" s="5"/>
      <c r="K41" s="5"/>
      <c r="L41" s="5"/>
    </row>
    <row r="42" spans="1:12" ht="14.45" customHeight="1" x14ac:dyDescent="0.2">
      <c r="A42" s="2">
        <v>2023</v>
      </c>
      <c r="B42" s="5"/>
      <c r="C42" s="38">
        <v>68</v>
      </c>
      <c r="I42" s="4"/>
      <c r="J42" s="5"/>
      <c r="K42" s="5"/>
      <c r="L42" s="5"/>
    </row>
    <row r="43" spans="1:12" ht="14.45" customHeight="1" x14ac:dyDescent="0.2">
      <c r="A43" s="2">
        <v>2024</v>
      </c>
      <c r="B43" s="5"/>
      <c r="C43" s="38">
        <v>63</v>
      </c>
      <c r="I43" s="4"/>
      <c r="J43" s="5"/>
      <c r="K43" s="5"/>
      <c r="L43" s="5"/>
    </row>
    <row r="44" spans="1:12" ht="14.45" customHeight="1" x14ac:dyDescent="0.2">
      <c r="A44" s="2">
        <v>2025</v>
      </c>
      <c r="C44" s="39">
        <v>63</v>
      </c>
      <c r="I44" s="4"/>
      <c r="J44" s="5"/>
      <c r="K44" s="5"/>
      <c r="L44" s="5"/>
    </row>
    <row r="45" spans="1:12" ht="14.45" customHeight="1" x14ac:dyDescent="0.2">
      <c r="A45" s="2" t="s">
        <v>43</v>
      </c>
      <c r="B45" s="5"/>
      <c r="C45" s="38">
        <f>+SUM(C40:C44)</f>
        <v>359</v>
      </c>
      <c r="I45" s="4"/>
      <c r="J45" s="5"/>
      <c r="K45" s="5"/>
      <c r="L45" s="5"/>
    </row>
    <row r="46" spans="1:12" ht="14.45" customHeight="1" x14ac:dyDescent="0.2">
      <c r="A46" s="2"/>
      <c r="I46" s="4"/>
      <c r="J46" s="5"/>
      <c r="K46" s="5"/>
      <c r="L46" s="5"/>
    </row>
    <row r="47" spans="1:12" ht="14.45" customHeight="1" x14ac:dyDescent="0.2">
      <c r="A47" s="2"/>
      <c r="I47" s="4"/>
      <c r="J47" s="5"/>
      <c r="K47" s="5"/>
      <c r="L47" s="5"/>
    </row>
    <row r="48" spans="1:12" ht="14.45" customHeight="1" x14ac:dyDescent="0.2">
      <c r="A48" s="2"/>
      <c r="I48" s="4"/>
      <c r="J48" s="5"/>
      <c r="K48" s="5"/>
      <c r="L48" s="5"/>
    </row>
    <row r="49" spans="1:12" ht="14.45" customHeight="1" x14ac:dyDescent="0.2">
      <c r="A49" s="2"/>
      <c r="I49" s="4"/>
      <c r="J49" s="5"/>
      <c r="K49" s="5"/>
      <c r="L49" s="5"/>
    </row>
    <row r="50" spans="1:12" ht="14.45" customHeight="1" x14ac:dyDescent="0.2">
      <c r="A50" s="2"/>
      <c r="I50" s="4"/>
      <c r="J50" s="5"/>
      <c r="K50" s="5"/>
      <c r="L50" s="5"/>
    </row>
    <row r="51" spans="1:12" ht="14.45" customHeight="1" x14ac:dyDescent="0.2">
      <c r="A51" s="2"/>
      <c r="I51" s="4"/>
      <c r="J51" s="5"/>
      <c r="K51" s="5"/>
      <c r="L51" s="5"/>
    </row>
    <row r="52" spans="1:12" ht="14.45" customHeight="1" x14ac:dyDescent="0.2">
      <c r="A52" s="2"/>
      <c r="I52" s="4"/>
      <c r="J52" s="5"/>
      <c r="K52" s="5"/>
      <c r="L52" s="5"/>
    </row>
    <row r="53" spans="1:12" ht="14.45" customHeight="1" x14ac:dyDescent="0.2">
      <c r="A53" s="2"/>
      <c r="I53" s="4"/>
      <c r="J53" s="5"/>
      <c r="K53" s="5"/>
      <c r="L53" s="5"/>
    </row>
    <row r="54" spans="1:12" ht="14.45" customHeight="1" x14ac:dyDescent="0.2">
      <c r="A54" s="2"/>
      <c r="D54" s="1" t="s">
        <v>513</v>
      </c>
      <c r="I54" s="4"/>
      <c r="J54" s="5"/>
      <c r="K54" s="5"/>
      <c r="L54" s="5"/>
    </row>
    <row r="55" spans="1:12" ht="14.45" customHeight="1" x14ac:dyDescent="0.2">
      <c r="A55" s="2"/>
      <c r="E55" s="438" t="s">
        <v>516</v>
      </c>
      <c r="F55" s="438"/>
      <c r="G55" s="438"/>
      <c r="H55" s="438"/>
      <c r="I55" s="438"/>
      <c r="J55" s="438"/>
      <c r="K55" s="438"/>
      <c r="L55" s="5"/>
    </row>
    <row r="56" spans="1:12" ht="14.45" customHeight="1" x14ac:dyDescent="0.2">
      <c r="A56" s="5"/>
      <c r="B56" s="5"/>
      <c r="C56" s="5"/>
      <c r="D56" s="5"/>
      <c r="E56" s="438"/>
      <c r="F56" s="438"/>
      <c r="G56" s="438"/>
      <c r="H56" s="438"/>
      <c r="I56" s="438"/>
      <c r="J56" s="438"/>
      <c r="K56" s="438"/>
      <c r="L56" s="5"/>
    </row>
    <row r="57" spans="1:12" ht="14.45" customHeight="1" x14ac:dyDescent="0.2">
      <c r="A57" s="4"/>
      <c r="B57" s="4"/>
      <c r="C57" s="5"/>
      <c r="D57" s="5"/>
      <c r="E57" s="438"/>
      <c r="F57" s="438"/>
      <c r="G57" s="438"/>
      <c r="H57" s="438"/>
      <c r="I57" s="438"/>
      <c r="J57" s="438"/>
      <c r="K57" s="438"/>
      <c r="L57" s="5"/>
    </row>
  </sheetData>
  <mergeCells count="9">
    <mergeCell ref="A2:K2"/>
    <mergeCell ref="E37:K37"/>
    <mergeCell ref="E55:K57"/>
    <mergeCell ref="A4:K4"/>
    <mergeCell ref="A5:K5"/>
    <mergeCell ref="A18:B18"/>
    <mergeCell ref="A22:B22"/>
    <mergeCell ref="A30:B30"/>
    <mergeCell ref="A31:B31"/>
  </mergeCell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L127"/>
  <sheetViews>
    <sheetView showGridLines="0" workbookViewId="0">
      <pane ySplit="6" topLeftCell="A82" activePane="bottomLeft" state="frozen"/>
      <selection activeCell="G24" sqref="G24"/>
      <selection pane="bottomLeft" activeCell="B2" sqref="B2:G2"/>
    </sheetView>
  </sheetViews>
  <sheetFormatPr baseColWidth="10" defaultColWidth="9.5703125" defaultRowHeight="11.25" x14ac:dyDescent="0.2"/>
  <cols>
    <col min="1" max="1" width="9.5703125" style="125"/>
    <col min="2" max="2" width="9.5703125" style="2"/>
    <col min="3" max="3" width="33.85546875" style="1" customWidth="1"/>
    <col min="4" max="4" width="13.7109375" style="2" customWidth="1"/>
    <col min="5" max="5" width="11.28515625" style="3" customWidth="1"/>
    <col min="6" max="6" width="11.85546875" style="3" customWidth="1"/>
    <col min="7" max="7" width="11.7109375" style="2" customWidth="1"/>
    <col min="8" max="16384" width="9.5703125" style="5"/>
  </cols>
  <sheetData>
    <row r="2" spans="1:12" ht="12" x14ac:dyDescent="0.2">
      <c r="B2" s="488" t="s">
        <v>518</v>
      </c>
      <c r="C2" s="488"/>
      <c r="D2" s="488"/>
      <c r="E2" s="488"/>
      <c r="F2" s="488"/>
      <c r="G2" s="488"/>
      <c r="H2" s="255"/>
      <c r="I2" s="255"/>
      <c r="J2" s="255"/>
      <c r="K2" s="255"/>
      <c r="L2" s="255"/>
    </row>
    <row r="3" spans="1:12" ht="12" x14ac:dyDescent="0.2">
      <c r="B3" s="261"/>
      <c r="C3" s="261"/>
      <c r="D3" s="261"/>
      <c r="E3" s="261"/>
      <c r="F3" s="261"/>
      <c r="G3" s="261"/>
      <c r="H3" s="255"/>
      <c r="I3" s="255"/>
      <c r="J3" s="255"/>
      <c r="K3" s="255"/>
      <c r="L3" s="255"/>
    </row>
    <row r="4" spans="1:12" s="6" customFormat="1" ht="14.45" customHeight="1" x14ac:dyDescent="0.2">
      <c r="A4" s="123"/>
      <c r="B4" s="466" t="s">
        <v>167</v>
      </c>
      <c r="C4" s="467"/>
      <c r="D4" s="467"/>
      <c r="E4" s="467"/>
      <c r="F4" s="467"/>
      <c r="G4" s="468"/>
    </row>
    <row r="5" spans="1:12" s="6" customFormat="1" ht="14.45" customHeight="1" x14ac:dyDescent="0.2">
      <c r="A5" s="123"/>
      <c r="B5" s="469" t="s">
        <v>4</v>
      </c>
      <c r="C5" s="470" t="s">
        <v>89</v>
      </c>
      <c r="D5" s="124" t="s">
        <v>168</v>
      </c>
      <c r="E5" s="471" t="s">
        <v>169</v>
      </c>
      <c r="F5" s="471" t="s">
        <v>170</v>
      </c>
      <c r="G5" s="472" t="s">
        <v>171</v>
      </c>
    </row>
    <row r="6" spans="1:12" s="6" customFormat="1" ht="14.45" customHeight="1" x14ac:dyDescent="0.2">
      <c r="A6" s="123"/>
      <c r="B6" s="469"/>
      <c r="C6" s="470"/>
      <c r="D6" s="124" t="s">
        <v>93</v>
      </c>
      <c r="E6" s="471"/>
      <c r="F6" s="471"/>
      <c r="G6" s="472"/>
    </row>
    <row r="7" spans="1:12" ht="14.45" customHeight="1" x14ac:dyDescent="0.2">
      <c r="B7" s="473" t="s">
        <v>154</v>
      </c>
      <c r="C7" s="448" t="s">
        <v>172</v>
      </c>
      <c r="D7" s="89" t="s">
        <v>173</v>
      </c>
      <c r="E7" s="71">
        <v>33596</v>
      </c>
      <c r="F7" s="72">
        <v>33599</v>
      </c>
      <c r="G7" s="455" t="s">
        <v>174</v>
      </c>
    </row>
    <row r="8" spans="1:12" ht="14.45" customHeight="1" x14ac:dyDescent="0.2">
      <c r="B8" s="473"/>
      <c r="C8" s="448"/>
      <c r="D8" s="89" t="s">
        <v>175</v>
      </c>
      <c r="E8" s="71">
        <v>34131</v>
      </c>
      <c r="F8" s="72">
        <v>34131</v>
      </c>
      <c r="G8" s="455"/>
    </row>
    <row r="9" spans="1:12" ht="14.45" customHeight="1" x14ac:dyDescent="0.2">
      <c r="A9" s="125" t="s">
        <v>176</v>
      </c>
      <c r="B9" s="473"/>
      <c r="C9" s="448"/>
      <c r="D9" s="89" t="s">
        <v>177</v>
      </c>
      <c r="E9" s="71">
        <v>34906</v>
      </c>
      <c r="F9" s="72">
        <v>34911</v>
      </c>
      <c r="G9" s="455"/>
    </row>
    <row r="10" spans="1:12" ht="14.45" customHeight="1" x14ac:dyDescent="0.2">
      <c r="B10" s="473"/>
      <c r="C10" s="448"/>
      <c r="D10" s="89" t="s">
        <v>178</v>
      </c>
      <c r="E10" s="71">
        <v>35995</v>
      </c>
      <c r="F10" s="72">
        <v>36020</v>
      </c>
      <c r="G10" s="455"/>
    </row>
    <row r="11" spans="1:12" ht="14.45" customHeight="1" x14ac:dyDescent="0.2">
      <c r="B11" s="473"/>
      <c r="C11" s="448"/>
      <c r="D11" s="89" t="s">
        <v>179</v>
      </c>
      <c r="E11" s="71">
        <v>37401</v>
      </c>
      <c r="F11" s="72">
        <v>37424</v>
      </c>
      <c r="G11" s="455"/>
    </row>
    <row r="12" spans="1:12" ht="14.45" customHeight="1" x14ac:dyDescent="0.2">
      <c r="B12" s="473"/>
      <c r="C12" s="448"/>
      <c r="D12" s="89" t="s">
        <v>179</v>
      </c>
      <c r="E12" s="71">
        <v>40259</v>
      </c>
      <c r="F12" s="72">
        <v>40259</v>
      </c>
      <c r="G12" s="455"/>
    </row>
    <row r="13" spans="1:12" ht="14.45" customHeight="1" x14ac:dyDescent="0.2">
      <c r="B13" s="474" t="s">
        <v>156</v>
      </c>
      <c r="C13" s="445" t="s">
        <v>180</v>
      </c>
      <c r="D13" s="74" t="s">
        <v>181</v>
      </c>
      <c r="E13" s="77">
        <v>35044</v>
      </c>
      <c r="F13" s="77">
        <v>35069</v>
      </c>
      <c r="G13" s="475" t="s">
        <v>100</v>
      </c>
    </row>
    <row r="14" spans="1:12" ht="14.45" customHeight="1" x14ac:dyDescent="0.2">
      <c r="B14" s="474"/>
      <c r="C14" s="445"/>
      <c r="D14" s="74" t="s">
        <v>182</v>
      </c>
      <c r="E14" s="77">
        <v>35676</v>
      </c>
      <c r="F14" s="77">
        <v>35704</v>
      </c>
      <c r="G14" s="475"/>
    </row>
    <row r="15" spans="1:12" ht="14.45" customHeight="1" x14ac:dyDescent="0.2">
      <c r="B15" s="474"/>
      <c r="C15" s="445"/>
      <c r="D15" s="74" t="s">
        <v>183</v>
      </c>
      <c r="E15" s="77">
        <v>36393</v>
      </c>
      <c r="F15" s="77">
        <v>36467</v>
      </c>
      <c r="G15" s="475"/>
    </row>
    <row r="16" spans="1:12" ht="14.45" customHeight="1" x14ac:dyDescent="0.2">
      <c r="A16" s="125" t="s">
        <v>176</v>
      </c>
      <c r="B16" s="474"/>
      <c r="C16" s="445"/>
      <c r="D16" s="74" t="s">
        <v>184</v>
      </c>
      <c r="E16" s="77">
        <v>38141</v>
      </c>
      <c r="F16" s="77">
        <v>38154</v>
      </c>
      <c r="G16" s="475"/>
    </row>
    <row r="17" spans="1:7" ht="14.45" customHeight="1" x14ac:dyDescent="0.2">
      <c r="B17" s="474"/>
      <c r="C17" s="445"/>
      <c r="D17" s="74" t="s">
        <v>185</v>
      </c>
      <c r="E17" s="77">
        <v>38386</v>
      </c>
      <c r="F17" s="77">
        <v>38412</v>
      </c>
      <c r="G17" s="475"/>
    </row>
    <row r="18" spans="1:7" ht="14.45" customHeight="1" x14ac:dyDescent="0.2">
      <c r="B18" s="474"/>
      <c r="C18" s="445"/>
      <c r="D18" s="74" t="s">
        <v>186</v>
      </c>
      <c r="E18" s="77">
        <v>38575</v>
      </c>
      <c r="F18" s="77">
        <v>38589</v>
      </c>
      <c r="G18" s="475"/>
    </row>
    <row r="19" spans="1:7" ht="14.45" customHeight="1" x14ac:dyDescent="0.2">
      <c r="B19" s="474"/>
      <c r="C19" s="445"/>
      <c r="D19" s="74" t="s">
        <v>187</v>
      </c>
      <c r="E19" s="77">
        <v>42204</v>
      </c>
      <c r="F19" s="77">
        <v>42226</v>
      </c>
      <c r="G19" s="475"/>
    </row>
    <row r="20" spans="1:7" ht="14.45" customHeight="1" x14ac:dyDescent="0.2">
      <c r="A20" s="125" t="s">
        <v>176</v>
      </c>
      <c r="B20" s="126" t="s">
        <v>64</v>
      </c>
      <c r="C20" s="90" t="s">
        <v>172</v>
      </c>
      <c r="D20" s="89" t="s">
        <v>188</v>
      </c>
      <c r="E20" s="71">
        <v>42094</v>
      </c>
      <c r="F20" s="71">
        <v>42094</v>
      </c>
      <c r="G20" s="80" t="s">
        <v>100</v>
      </c>
    </row>
    <row r="21" spans="1:7" ht="14.45" customHeight="1" x14ac:dyDescent="0.2">
      <c r="A21" s="125" t="s">
        <v>176</v>
      </c>
      <c r="B21" s="127" t="s">
        <v>63</v>
      </c>
      <c r="C21" s="88" t="s">
        <v>172</v>
      </c>
      <c r="D21" s="74" t="s">
        <v>189</v>
      </c>
      <c r="E21" s="76">
        <v>42094</v>
      </c>
      <c r="F21" s="77">
        <v>42094</v>
      </c>
      <c r="G21" s="78" t="s">
        <v>100</v>
      </c>
    </row>
    <row r="22" spans="1:7" ht="14.45" customHeight="1" x14ac:dyDescent="0.2">
      <c r="A22" s="125" t="s">
        <v>176</v>
      </c>
      <c r="B22" s="473" t="s">
        <v>157</v>
      </c>
      <c r="C22" s="448" t="s">
        <v>190</v>
      </c>
      <c r="D22" s="89" t="s">
        <v>191</v>
      </c>
      <c r="E22" s="71">
        <v>34222</v>
      </c>
      <c r="F22" s="72">
        <v>34250</v>
      </c>
      <c r="G22" s="455" t="s">
        <v>174</v>
      </c>
    </row>
    <row r="23" spans="1:7" ht="14.45" customHeight="1" x14ac:dyDescent="0.2">
      <c r="B23" s="473"/>
      <c r="C23" s="448"/>
      <c r="D23" s="89" t="s">
        <v>192</v>
      </c>
      <c r="E23" s="71">
        <v>37526</v>
      </c>
      <c r="F23" s="72">
        <v>37550</v>
      </c>
      <c r="G23" s="455"/>
    </row>
    <row r="24" spans="1:7" ht="14.45" customHeight="1" x14ac:dyDescent="0.2">
      <c r="B24" s="474" t="s">
        <v>193</v>
      </c>
      <c r="C24" s="446" t="s">
        <v>194</v>
      </c>
      <c r="D24" s="74" t="s">
        <v>195</v>
      </c>
      <c r="E24" s="77">
        <v>34225</v>
      </c>
      <c r="F24" s="77">
        <v>34264</v>
      </c>
      <c r="G24" s="476" t="s">
        <v>100</v>
      </c>
    </row>
    <row r="25" spans="1:7" ht="14.45" customHeight="1" x14ac:dyDescent="0.2">
      <c r="B25" s="474"/>
      <c r="C25" s="446"/>
      <c r="D25" s="74" t="s">
        <v>196</v>
      </c>
      <c r="E25" s="77">
        <v>35081</v>
      </c>
      <c r="F25" s="77">
        <v>35116</v>
      </c>
      <c r="G25" s="476"/>
    </row>
    <row r="26" spans="1:7" ht="14.45" customHeight="1" x14ac:dyDescent="0.2">
      <c r="A26" s="125" t="s">
        <v>176</v>
      </c>
      <c r="B26" s="474"/>
      <c r="C26" s="446"/>
      <c r="D26" s="74" t="s">
        <v>197</v>
      </c>
      <c r="E26" s="77">
        <v>36627</v>
      </c>
      <c r="F26" s="77">
        <v>36647</v>
      </c>
      <c r="G26" s="476"/>
    </row>
    <row r="27" spans="1:7" ht="14.45" customHeight="1" x14ac:dyDescent="0.2">
      <c r="B27" s="474"/>
      <c r="C27" s="446"/>
      <c r="D27" s="74" t="s">
        <v>198</v>
      </c>
      <c r="E27" s="77">
        <v>37762</v>
      </c>
      <c r="F27" s="77">
        <v>37788</v>
      </c>
      <c r="G27" s="476"/>
    </row>
    <row r="28" spans="1:7" ht="14.45" customHeight="1" x14ac:dyDescent="0.2">
      <c r="B28" s="474"/>
      <c r="C28" s="446"/>
      <c r="D28" s="74" t="s">
        <v>199</v>
      </c>
      <c r="E28" s="77">
        <v>38723</v>
      </c>
      <c r="F28" s="77">
        <v>38779</v>
      </c>
      <c r="G28" s="476"/>
    </row>
    <row r="29" spans="1:7" ht="14.45" customHeight="1" x14ac:dyDescent="0.2">
      <c r="B29" s="127"/>
      <c r="C29" s="88"/>
      <c r="D29" s="74" t="s">
        <v>200</v>
      </c>
      <c r="E29" s="128" t="s">
        <v>7</v>
      </c>
      <c r="F29" s="77">
        <v>42209</v>
      </c>
      <c r="G29" s="78"/>
    </row>
    <row r="30" spans="1:7" ht="22.5" x14ac:dyDescent="0.2">
      <c r="A30" s="125" t="s">
        <v>176</v>
      </c>
      <c r="B30" s="126" t="s">
        <v>73</v>
      </c>
      <c r="C30" s="90" t="s">
        <v>201</v>
      </c>
      <c r="D30" s="89" t="s">
        <v>202</v>
      </c>
      <c r="E30" s="71">
        <v>34136</v>
      </c>
      <c r="F30" s="72">
        <v>42171</v>
      </c>
      <c r="G30" s="80" t="s">
        <v>100</v>
      </c>
    </row>
    <row r="31" spans="1:7" ht="14.45" customHeight="1" x14ac:dyDescent="0.2">
      <c r="B31" s="474" t="s">
        <v>65</v>
      </c>
      <c r="C31" s="446" t="s">
        <v>203</v>
      </c>
      <c r="D31" s="74" t="s">
        <v>204</v>
      </c>
      <c r="E31" s="77">
        <v>34408</v>
      </c>
      <c r="F31" s="77">
        <v>34474</v>
      </c>
      <c r="G31" s="475" t="s">
        <v>100</v>
      </c>
    </row>
    <row r="32" spans="1:7" ht="14.45" customHeight="1" x14ac:dyDescent="0.2">
      <c r="B32" s="474"/>
      <c r="C32" s="446"/>
      <c r="D32" s="74" t="s">
        <v>205</v>
      </c>
      <c r="E32" s="77">
        <v>35355</v>
      </c>
      <c r="F32" s="77">
        <v>35355</v>
      </c>
      <c r="G32" s="475"/>
    </row>
    <row r="33" spans="1:7" ht="14.45" customHeight="1" x14ac:dyDescent="0.2">
      <c r="B33" s="474"/>
      <c r="C33" s="446"/>
      <c r="D33" s="74" t="s">
        <v>206</v>
      </c>
      <c r="E33" s="77">
        <v>35415</v>
      </c>
      <c r="F33" s="77">
        <v>35416</v>
      </c>
      <c r="G33" s="475"/>
    </row>
    <row r="34" spans="1:7" ht="14.45" customHeight="1" x14ac:dyDescent="0.2">
      <c r="B34" s="474"/>
      <c r="C34" s="446"/>
      <c r="D34" s="74" t="s">
        <v>207</v>
      </c>
      <c r="E34" s="77">
        <v>36627</v>
      </c>
      <c r="F34" s="77">
        <v>37384</v>
      </c>
      <c r="G34" s="475"/>
    </row>
    <row r="35" spans="1:7" ht="14.45" customHeight="1" x14ac:dyDescent="0.2">
      <c r="A35" s="125" t="s">
        <v>176</v>
      </c>
      <c r="B35" s="474"/>
      <c r="C35" s="446"/>
      <c r="D35" s="74" t="s">
        <v>208</v>
      </c>
      <c r="E35" s="77">
        <v>37058</v>
      </c>
      <c r="F35" s="77">
        <v>37088</v>
      </c>
      <c r="G35" s="475"/>
    </row>
    <row r="36" spans="1:7" ht="14.45" customHeight="1" x14ac:dyDescent="0.2">
      <c r="B36" s="474"/>
      <c r="C36" s="446"/>
      <c r="D36" s="74" t="s">
        <v>209</v>
      </c>
      <c r="E36" s="77">
        <v>38163</v>
      </c>
      <c r="F36" s="77">
        <v>38189</v>
      </c>
      <c r="G36" s="475"/>
    </row>
    <row r="37" spans="1:7" ht="14.45" customHeight="1" x14ac:dyDescent="0.2">
      <c r="B37" s="474"/>
      <c r="C37" s="446"/>
      <c r="D37" s="74" t="s">
        <v>210</v>
      </c>
      <c r="E37" s="77">
        <v>38246</v>
      </c>
      <c r="F37" s="77">
        <v>38246</v>
      </c>
      <c r="G37" s="475"/>
    </row>
    <row r="38" spans="1:7" ht="14.45" customHeight="1" x14ac:dyDescent="0.2">
      <c r="B38" s="474"/>
      <c r="C38" s="446"/>
      <c r="D38" s="74" t="s">
        <v>211</v>
      </c>
      <c r="E38" s="77">
        <v>41789</v>
      </c>
      <c r="F38" s="77">
        <v>41949</v>
      </c>
      <c r="G38" s="475"/>
    </row>
    <row r="39" spans="1:7" ht="14.45" customHeight="1" x14ac:dyDescent="0.2">
      <c r="B39" s="474"/>
      <c r="C39" s="446"/>
      <c r="D39" s="74" t="s">
        <v>212</v>
      </c>
      <c r="E39" s="77">
        <v>43568</v>
      </c>
      <c r="F39" s="77">
        <v>43647</v>
      </c>
      <c r="G39" s="475"/>
    </row>
    <row r="40" spans="1:7" ht="14.45" customHeight="1" x14ac:dyDescent="0.2">
      <c r="B40" s="473" t="s">
        <v>11</v>
      </c>
      <c r="C40" s="448" t="s">
        <v>213</v>
      </c>
      <c r="D40" s="89" t="s">
        <v>214</v>
      </c>
      <c r="E40" s="71">
        <v>35148</v>
      </c>
      <c r="F40" s="72">
        <v>35215</v>
      </c>
      <c r="G40" s="455" t="s">
        <v>100</v>
      </c>
    </row>
    <row r="41" spans="1:7" ht="14.45" customHeight="1" x14ac:dyDescent="0.2">
      <c r="A41" s="125" t="s">
        <v>176</v>
      </c>
      <c r="B41" s="473"/>
      <c r="C41" s="448"/>
      <c r="D41" s="89" t="s">
        <v>215</v>
      </c>
      <c r="E41" s="71">
        <v>39535</v>
      </c>
      <c r="F41" s="72">
        <v>39824</v>
      </c>
      <c r="G41" s="455"/>
    </row>
    <row r="42" spans="1:7" ht="14.45" customHeight="1" x14ac:dyDescent="0.2">
      <c r="B42" s="473"/>
      <c r="C42" s="448"/>
      <c r="D42" s="89" t="s">
        <v>216</v>
      </c>
      <c r="E42" s="71">
        <v>40908</v>
      </c>
      <c r="F42" s="72">
        <v>40908</v>
      </c>
      <c r="G42" s="455"/>
    </row>
    <row r="43" spans="1:7" ht="14.45" customHeight="1" x14ac:dyDescent="0.2">
      <c r="B43" s="474" t="s">
        <v>160</v>
      </c>
      <c r="C43" s="446" t="s">
        <v>180</v>
      </c>
      <c r="D43" s="74" t="s">
        <v>217</v>
      </c>
      <c r="E43" s="77">
        <v>35903</v>
      </c>
      <c r="F43" s="77">
        <v>35941</v>
      </c>
      <c r="G43" s="476" t="s">
        <v>100</v>
      </c>
    </row>
    <row r="44" spans="1:7" ht="14.45" customHeight="1" x14ac:dyDescent="0.2">
      <c r="A44" s="125" t="s">
        <v>176</v>
      </c>
      <c r="B44" s="474"/>
      <c r="C44" s="446"/>
      <c r="D44" s="74" t="s">
        <v>218</v>
      </c>
      <c r="E44" s="77">
        <v>36533</v>
      </c>
      <c r="F44" s="77">
        <v>36581</v>
      </c>
      <c r="G44" s="476"/>
    </row>
    <row r="45" spans="1:7" ht="14.45" customHeight="1" x14ac:dyDescent="0.2">
      <c r="B45" s="474"/>
      <c r="C45" s="446"/>
      <c r="D45" s="74" t="s">
        <v>219</v>
      </c>
      <c r="E45" s="77">
        <v>42000</v>
      </c>
      <c r="F45" s="77">
        <v>42033</v>
      </c>
      <c r="G45" s="476"/>
    </row>
    <row r="46" spans="1:7" ht="14.45" customHeight="1" x14ac:dyDescent="0.2">
      <c r="A46" s="125" t="s">
        <v>176</v>
      </c>
      <c r="B46" s="473" t="s">
        <v>161</v>
      </c>
      <c r="C46" s="448" t="s">
        <v>180</v>
      </c>
      <c r="D46" s="89" t="s">
        <v>220</v>
      </c>
      <c r="E46" s="71">
        <v>38722</v>
      </c>
      <c r="F46" s="72">
        <v>38736</v>
      </c>
      <c r="G46" s="455" t="s">
        <v>100</v>
      </c>
    </row>
    <row r="47" spans="1:7" ht="14.45" customHeight="1" x14ac:dyDescent="0.2">
      <c r="B47" s="473"/>
      <c r="C47" s="448"/>
      <c r="D47" s="89" t="s">
        <v>221</v>
      </c>
      <c r="E47" s="71">
        <v>39721</v>
      </c>
      <c r="F47" s="72">
        <v>39791</v>
      </c>
      <c r="G47" s="455"/>
    </row>
    <row r="48" spans="1:7" ht="14.45" customHeight="1" x14ac:dyDescent="0.2">
      <c r="A48" s="125" t="s">
        <v>222</v>
      </c>
      <c r="B48" s="474" t="s">
        <v>76</v>
      </c>
      <c r="C48" s="446" t="s">
        <v>223</v>
      </c>
      <c r="D48" s="74" t="s">
        <v>224</v>
      </c>
      <c r="E48" s="77">
        <v>34274</v>
      </c>
      <c r="F48" s="77">
        <v>34289</v>
      </c>
      <c r="G48" s="476" t="s">
        <v>225</v>
      </c>
    </row>
    <row r="49" spans="1:7" ht="14.45" customHeight="1" x14ac:dyDescent="0.2">
      <c r="B49" s="474"/>
      <c r="C49" s="446"/>
      <c r="D49" s="74" t="s">
        <v>226</v>
      </c>
      <c r="E49" s="77">
        <v>36525</v>
      </c>
      <c r="F49" s="77">
        <v>36525</v>
      </c>
      <c r="G49" s="476"/>
    </row>
    <row r="50" spans="1:7" x14ac:dyDescent="0.2">
      <c r="B50" s="450" t="s">
        <v>52</v>
      </c>
      <c r="C50" s="447" t="s">
        <v>227</v>
      </c>
      <c r="D50" s="79" t="s">
        <v>228</v>
      </c>
      <c r="E50" s="72">
        <v>37209</v>
      </c>
      <c r="F50" s="72">
        <v>37225</v>
      </c>
      <c r="G50" s="477" t="s">
        <v>100</v>
      </c>
    </row>
    <row r="51" spans="1:7" x14ac:dyDescent="0.2">
      <c r="B51" s="450"/>
      <c r="C51" s="447"/>
      <c r="D51" s="79" t="s">
        <v>229</v>
      </c>
      <c r="E51" s="72">
        <v>37554</v>
      </c>
      <c r="F51" s="72">
        <v>37644</v>
      </c>
      <c r="G51" s="477"/>
    </row>
    <row r="52" spans="1:7" x14ac:dyDescent="0.2">
      <c r="B52" s="450"/>
      <c r="C52" s="447"/>
      <c r="D52" s="79" t="s">
        <v>230</v>
      </c>
      <c r="E52" s="72">
        <v>38030</v>
      </c>
      <c r="F52" s="72">
        <v>38064</v>
      </c>
      <c r="G52" s="477"/>
    </row>
    <row r="53" spans="1:7" x14ac:dyDescent="0.2">
      <c r="A53" s="125" t="s">
        <v>222</v>
      </c>
      <c r="B53" s="450"/>
      <c r="C53" s="447"/>
      <c r="D53" s="79" t="s">
        <v>231</v>
      </c>
      <c r="E53" s="72">
        <v>38189</v>
      </c>
      <c r="F53" s="72">
        <v>38194</v>
      </c>
      <c r="G53" s="477"/>
    </row>
    <row r="54" spans="1:7" x14ac:dyDescent="0.2">
      <c r="B54" s="450"/>
      <c r="C54" s="447"/>
      <c r="D54" s="79" t="s">
        <v>232</v>
      </c>
      <c r="E54" s="72">
        <v>38386</v>
      </c>
      <c r="F54" s="72">
        <v>38386</v>
      </c>
      <c r="G54" s="477"/>
    </row>
    <row r="55" spans="1:7" x14ac:dyDescent="0.2">
      <c r="B55" s="450"/>
      <c r="C55" s="447"/>
      <c r="D55" s="79" t="s">
        <v>233</v>
      </c>
      <c r="E55" s="72">
        <v>39780</v>
      </c>
      <c r="F55" s="72">
        <v>39825</v>
      </c>
      <c r="G55" s="477"/>
    </row>
    <row r="56" spans="1:7" x14ac:dyDescent="0.2">
      <c r="B56" s="450"/>
      <c r="C56" s="447"/>
      <c r="D56" s="79" t="s">
        <v>234</v>
      </c>
      <c r="E56" s="72">
        <v>41272</v>
      </c>
      <c r="F56" s="72">
        <v>41277</v>
      </c>
      <c r="G56" s="477"/>
    </row>
    <row r="57" spans="1:7" ht="14.45" customHeight="1" x14ac:dyDescent="0.2">
      <c r="A57" s="125" t="s">
        <v>222</v>
      </c>
      <c r="B57" s="474" t="s">
        <v>164</v>
      </c>
      <c r="C57" s="446" t="s">
        <v>235</v>
      </c>
      <c r="D57" s="74" t="s">
        <v>236</v>
      </c>
      <c r="E57" s="77">
        <v>37307</v>
      </c>
      <c r="F57" s="77">
        <v>37335</v>
      </c>
      <c r="G57" s="476" t="s">
        <v>135</v>
      </c>
    </row>
    <row r="58" spans="1:7" ht="14.45" customHeight="1" x14ac:dyDescent="0.2">
      <c r="B58" s="474"/>
      <c r="C58" s="446"/>
      <c r="D58" s="74" t="s">
        <v>237</v>
      </c>
      <c r="E58" s="77">
        <v>38634</v>
      </c>
      <c r="F58" s="77">
        <v>38670</v>
      </c>
      <c r="G58" s="476"/>
    </row>
    <row r="59" spans="1:7" ht="14.25" customHeight="1" x14ac:dyDescent="0.2">
      <c r="A59" s="125" t="s">
        <v>238</v>
      </c>
      <c r="B59" s="126">
        <v>192</v>
      </c>
      <c r="C59" s="90" t="s">
        <v>239</v>
      </c>
      <c r="D59" s="89" t="s">
        <v>240</v>
      </c>
      <c r="E59" s="71">
        <v>42245</v>
      </c>
      <c r="F59" s="72">
        <v>42246</v>
      </c>
      <c r="G59" s="80" t="s">
        <v>174</v>
      </c>
    </row>
    <row r="60" spans="1:7" ht="16.5" customHeight="1" x14ac:dyDescent="0.2">
      <c r="B60" s="474">
        <v>8</v>
      </c>
      <c r="C60" s="446" t="s">
        <v>241</v>
      </c>
      <c r="D60" s="74" t="s">
        <v>242</v>
      </c>
      <c r="E60" s="77">
        <v>34409</v>
      </c>
      <c r="F60" s="77">
        <v>34474</v>
      </c>
      <c r="G60" s="476" t="s">
        <v>100</v>
      </c>
    </row>
    <row r="61" spans="1:7" ht="16.5" customHeight="1" x14ac:dyDescent="0.2">
      <c r="B61" s="474"/>
      <c r="C61" s="446"/>
      <c r="D61" s="74" t="s">
        <v>243</v>
      </c>
      <c r="E61" s="77">
        <v>35267</v>
      </c>
      <c r="F61" s="77">
        <v>35268</v>
      </c>
      <c r="G61" s="476"/>
    </row>
    <row r="62" spans="1:7" ht="16.5" customHeight="1" x14ac:dyDescent="0.2">
      <c r="A62" s="125" t="s">
        <v>238</v>
      </c>
      <c r="B62" s="474"/>
      <c r="C62" s="446"/>
      <c r="D62" s="74" t="s">
        <v>244</v>
      </c>
      <c r="E62" s="77">
        <v>37505</v>
      </c>
      <c r="F62" s="77">
        <v>37608</v>
      </c>
      <c r="G62" s="476"/>
    </row>
    <row r="63" spans="1:7" ht="16.5" customHeight="1" x14ac:dyDescent="0.2">
      <c r="B63" s="474"/>
      <c r="C63" s="446"/>
      <c r="D63" s="74" t="s">
        <v>245</v>
      </c>
      <c r="E63" s="77">
        <v>37700</v>
      </c>
      <c r="F63" s="77">
        <v>37757</v>
      </c>
      <c r="G63" s="476"/>
    </row>
    <row r="64" spans="1:7" ht="16.5" customHeight="1" x14ac:dyDescent="0.2">
      <c r="B64" s="474"/>
      <c r="C64" s="446"/>
      <c r="D64" s="74" t="s">
        <v>246</v>
      </c>
      <c r="E64" s="77">
        <v>40242</v>
      </c>
      <c r="F64" s="77">
        <v>40359</v>
      </c>
      <c r="G64" s="476"/>
    </row>
    <row r="65" spans="1:7" s="20" customFormat="1" ht="16.5" customHeight="1" x14ac:dyDescent="0.2">
      <c r="A65" s="129"/>
      <c r="B65" s="496">
        <v>39</v>
      </c>
      <c r="C65" s="486" t="s">
        <v>247</v>
      </c>
      <c r="D65" s="79" t="s">
        <v>248</v>
      </c>
      <c r="E65" s="72">
        <v>36349</v>
      </c>
      <c r="F65" s="72">
        <v>36412</v>
      </c>
      <c r="G65" s="477" t="s">
        <v>100</v>
      </c>
    </row>
    <row r="66" spans="1:7" s="20" customFormat="1" ht="16.5" customHeight="1" x14ac:dyDescent="0.2">
      <c r="A66" s="129"/>
      <c r="B66" s="496"/>
      <c r="C66" s="486"/>
      <c r="D66" s="79" t="s">
        <v>249</v>
      </c>
      <c r="E66" s="72">
        <v>36927</v>
      </c>
      <c r="F66" s="72">
        <v>37004</v>
      </c>
      <c r="G66" s="477"/>
    </row>
    <row r="67" spans="1:7" s="20" customFormat="1" ht="16.5" customHeight="1" x14ac:dyDescent="0.2">
      <c r="A67" s="129"/>
      <c r="B67" s="496"/>
      <c r="C67" s="486"/>
      <c r="D67" s="79" t="s">
        <v>250</v>
      </c>
      <c r="E67" s="72">
        <v>37554</v>
      </c>
      <c r="F67" s="72">
        <v>37644</v>
      </c>
      <c r="G67" s="477"/>
    </row>
    <row r="68" spans="1:7" s="20" customFormat="1" ht="16.5" customHeight="1" x14ac:dyDescent="0.2">
      <c r="A68" s="129"/>
      <c r="B68" s="496"/>
      <c r="C68" s="486"/>
      <c r="D68" s="79" t="s">
        <v>251</v>
      </c>
      <c r="E68" s="72">
        <v>37748</v>
      </c>
      <c r="F68" s="72">
        <v>37770</v>
      </c>
      <c r="G68" s="477"/>
    </row>
    <row r="69" spans="1:7" s="20" customFormat="1" ht="16.5" customHeight="1" x14ac:dyDescent="0.2">
      <c r="A69" s="129" t="s">
        <v>238</v>
      </c>
      <c r="B69" s="496"/>
      <c r="C69" s="486"/>
      <c r="D69" s="79" t="s">
        <v>252</v>
      </c>
      <c r="E69" s="72">
        <v>37936</v>
      </c>
      <c r="F69" s="72">
        <v>37952</v>
      </c>
      <c r="G69" s="477"/>
    </row>
    <row r="70" spans="1:7" s="20" customFormat="1" ht="16.5" customHeight="1" x14ac:dyDescent="0.2">
      <c r="A70" s="129"/>
      <c r="B70" s="496"/>
      <c r="C70" s="486"/>
      <c r="D70" s="79" t="s">
        <v>253</v>
      </c>
      <c r="E70" s="72">
        <v>38526</v>
      </c>
      <c r="F70" s="72">
        <v>38589</v>
      </c>
      <c r="G70" s="477"/>
    </row>
    <row r="71" spans="1:7" s="20" customFormat="1" ht="16.5" customHeight="1" x14ac:dyDescent="0.2">
      <c r="A71" s="129"/>
      <c r="B71" s="496"/>
      <c r="C71" s="486"/>
      <c r="D71" s="79" t="s">
        <v>254</v>
      </c>
      <c r="E71" s="72">
        <v>38672</v>
      </c>
      <c r="F71" s="72">
        <v>38674</v>
      </c>
      <c r="G71" s="477"/>
    </row>
    <row r="72" spans="1:7" s="20" customFormat="1" ht="16.5" customHeight="1" x14ac:dyDescent="0.2">
      <c r="A72" s="129"/>
      <c r="B72" s="496"/>
      <c r="C72" s="486"/>
      <c r="D72" s="79" t="s">
        <v>255</v>
      </c>
      <c r="E72" s="72">
        <v>38862</v>
      </c>
      <c r="F72" s="72">
        <v>38936</v>
      </c>
      <c r="G72" s="477"/>
    </row>
    <row r="73" spans="1:7" s="20" customFormat="1" ht="21.75" customHeight="1" x14ac:dyDescent="0.2">
      <c r="A73" s="129"/>
      <c r="B73" s="496"/>
      <c r="C73" s="486"/>
      <c r="D73" s="79" t="s">
        <v>256</v>
      </c>
      <c r="E73" s="72" t="s">
        <v>257</v>
      </c>
      <c r="F73" s="72" t="s">
        <v>258</v>
      </c>
      <c r="G73" s="477"/>
    </row>
    <row r="74" spans="1:7" x14ac:dyDescent="0.2">
      <c r="B74" s="478">
        <v>64</v>
      </c>
      <c r="C74" s="479" t="s">
        <v>259</v>
      </c>
      <c r="D74" s="98" t="s">
        <v>260</v>
      </c>
      <c r="E74" s="101">
        <v>35008</v>
      </c>
      <c r="F74" s="101">
        <v>35040</v>
      </c>
      <c r="G74" s="480" t="s">
        <v>100</v>
      </c>
    </row>
    <row r="75" spans="1:7" x14ac:dyDescent="0.2">
      <c r="B75" s="478"/>
      <c r="C75" s="479"/>
      <c r="D75" s="98" t="s">
        <v>261</v>
      </c>
      <c r="E75" s="101">
        <v>36422</v>
      </c>
      <c r="F75" s="101">
        <v>36459</v>
      </c>
      <c r="G75" s="480"/>
    </row>
    <row r="76" spans="1:7" x14ac:dyDescent="0.2">
      <c r="B76" s="478"/>
      <c r="C76" s="479"/>
      <c r="D76" s="98" t="s">
        <v>262</v>
      </c>
      <c r="E76" s="101">
        <v>36926</v>
      </c>
      <c r="F76" s="101">
        <v>37021</v>
      </c>
      <c r="G76" s="480"/>
    </row>
    <row r="77" spans="1:7" x14ac:dyDescent="0.2">
      <c r="B77" s="478"/>
      <c r="C77" s="479"/>
      <c r="D77" s="98" t="s">
        <v>263</v>
      </c>
      <c r="E77" s="101">
        <v>38061</v>
      </c>
      <c r="F77" s="101">
        <v>38063</v>
      </c>
      <c r="G77" s="480"/>
    </row>
    <row r="78" spans="1:7" x14ac:dyDescent="0.2">
      <c r="B78" s="478"/>
      <c r="C78" s="479"/>
      <c r="D78" s="98" t="s">
        <v>264</v>
      </c>
      <c r="E78" s="101">
        <v>38190</v>
      </c>
      <c r="F78" s="101">
        <v>38208</v>
      </c>
      <c r="G78" s="480"/>
    </row>
    <row r="79" spans="1:7" x14ac:dyDescent="0.2">
      <c r="B79" s="478"/>
      <c r="C79" s="479"/>
      <c r="D79" s="98" t="s">
        <v>265</v>
      </c>
      <c r="E79" s="101">
        <v>39407</v>
      </c>
      <c r="F79" s="101">
        <v>39421</v>
      </c>
      <c r="G79" s="480"/>
    </row>
    <row r="80" spans="1:7" x14ac:dyDescent="0.2">
      <c r="B80" s="478"/>
      <c r="C80" s="479"/>
      <c r="D80" s="98" t="s">
        <v>266</v>
      </c>
      <c r="E80" s="101">
        <v>40220</v>
      </c>
      <c r="F80" s="101">
        <v>40273</v>
      </c>
      <c r="G80" s="480"/>
    </row>
    <row r="81" spans="1:7" x14ac:dyDescent="0.2">
      <c r="B81" s="478"/>
      <c r="C81" s="479"/>
      <c r="D81" s="98" t="s">
        <v>267</v>
      </c>
      <c r="E81" s="101">
        <v>40297</v>
      </c>
      <c r="F81" s="101">
        <v>40309</v>
      </c>
      <c r="G81" s="480"/>
    </row>
    <row r="82" spans="1:7" x14ac:dyDescent="0.2">
      <c r="A82" s="125" t="s">
        <v>238</v>
      </c>
      <c r="B82" s="478"/>
      <c r="C82" s="479"/>
      <c r="D82" s="98" t="s">
        <v>268</v>
      </c>
      <c r="E82" s="101">
        <v>41390</v>
      </c>
      <c r="F82" s="101">
        <v>41393</v>
      </c>
      <c r="G82" s="480"/>
    </row>
    <row r="83" spans="1:7" x14ac:dyDescent="0.2">
      <c r="B83" s="478"/>
      <c r="C83" s="479"/>
      <c r="D83" s="98" t="s">
        <v>269</v>
      </c>
      <c r="E83" s="101">
        <v>42705</v>
      </c>
      <c r="F83" s="101">
        <v>42706</v>
      </c>
      <c r="G83" s="480"/>
    </row>
    <row r="84" spans="1:7" ht="15" customHeight="1" x14ac:dyDescent="0.2">
      <c r="B84" s="492">
        <v>67</v>
      </c>
      <c r="C84" s="493" t="s">
        <v>270</v>
      </c>
      <c r="D84" s="130" t="s">
        <v>271</v>
      </c>
      <c r="E84" s="131">
        <v>35043</v>
      </c>
      <c r="F84" s="131">
        <v>35046</v>
      </c>
      <c r="G84" s="494" t="s">
        <v>100</v>
      </c>
    </row>
    <row r="85" spans="1:7" x14ac:dyDescent="0.2">
      <c r="B85" s="492"/>
      <c r="C85" s="493"/>
      <c r="D85" s="130" t="s">
        <v>272</v>
      </c>
      <c r="E85" s="131">
        <v>35790</v>
      </c>
      <c r="F85" s="131">
        <v>35852</v>
      </c>
      <c r="G85" s="494"/>
    </row>
    <row r="86" spans="1:7" x14ac:dyDescent="0.2">
      <c r="B86" s="492"/>
      <c r="C86" s="493"/>
      <c r="D86" s="130" t="s">
        <v>273</v>
      </c>
      <c r="E86" s="131">
        <v>36421</v>
      </c>
      <c r="F86" s="131">
        <v>36549</v>
      </c>
      <c r="G86" s="494"/>
    </row>
    <row r="87" spans="1:7" x14ac:dyDescent="0.2">
      <c r="B87" s="492"/>
      <c r="C87" s="493"/>
      <c r="D87" s="130" t="s">
        <v>274</v>
      </c>
      <c r="E87" s="131">
        <v>36927</v>
      </c>
      <c r="F87" s="131">
        <v>37004</v>
      </c>
      <c r="G87" s="494"/>
    </row>
    <row r="88" spans="1:7" x14ac:dyDescent="0.2">
      <c r="B88" s="492"/>
      <c r="C88" s="493"/>
      <c r="D88" s="130" t="s">
        <v>275</v>
      </c>
      <c r="E88" s="131">
        <v>37700</v>
      </c>
      <c r="F88" s="131">
        <v>37712</v>
      </c>
      <c r="G88" s="494"/>
    </row>
    <row r="89" spans="1:7" ht="11.25" customHeight="1" x14ac:dyDescent="0.2">
      <c r="B89" s="492"/>
      <c r="C89" s="493"/>
      <c r="D89" s="132" t="s">
        <v>276</v>
      </c>
      <c r="E89" s="133">
        <v>38645</v>
      </c>
      <c r="F89" s="131">
        <v>38684</v>
      </c>
      <c r="G89" s="494"/>
    </row>
    <row r="90" spans="1:7" x14ac:dyDescent="0.2">
      <c r="B90" s="492"/>
      <c r="C90" s="493"/>
      <c r="D90" s="132" t="s">
        <v>277</v>
      </c>
      <c r="E90" s="133">
        <v>39403</v>
      </c>
      <c r="F90" s="131">
        <v>39414</v>
      </c>
      <c r="G90" s="494"/>
    </row>
    <row r="91" spans="1:7" x14ac:dyDescent="0.2">
      <c r="A91" s="125" t="s">
        <v>238</v>
      </c>
      <c r="B91" s="492"/>
      <c r="C91" s="493"/>
      <c r="D91" s="132" t="s">
        <v>278</v>
      </c>
      <c r="E91" s="133">
        <v>40379</v>
      </c>
      <c r="F91" s="131">
        <v>40422</v>
      </c>
      <c r="G91" s="494"/>
    </row>
    <row r="92" spans="1:7" x14ac:dyDescent="0.2">
      <c r="B92" s="492"/>
      <c r="C92" s="493"/>
      <c r="D92" s="132" t="s">
        <v>279</v>
      </c>
      <c r="E92" s="133">
        <v>41588</v>
      </c>
      <c r="F92" s="131">
        <v>41588</v>
      </c>
      <c r="G92" s="494"/>
    </row>
    <row r="93" spans="1:7" x14ac:dyDescent="0.2">
      <c r="A93" s="125" t="s">
        <v>238</v>
      </c>
      <c r="B93" s="134">
        <v>95</v>
      </c>
      <c r="C93" s="135" t="s">
        <v>280</v>
      </c>
      <c r="D93" s="98" t="s">
        <v>281</v>
      </c>
      <c r="E93" s="101">
        <v>38429</v>
      </c>
      <c r="F93" s="101">
        <v>38449</v>
      </c>
      <c r="G93" s="102" t="s">
        <v>100</v>
      </c>
    </row>
    <row r="94" spans="1:7" x14ac:dyDescent="0.2">
      <c r="A94" s="125" t="s">
        <v>238</v>
      </c>
      <c r="B94" s="492" t="s">
        <v>163</v>
      </c>
      <c r="C94" s="495" t="s">
        <v>282</v>
      </c>
      <c r="D94" s="132" t="s">
        <v>283</v>
      </c>
      <c r="E94" s="133">
        <v>34423</v>
      </c>
      <c r="F94" s="131">
        <v>34423</v>
      </c>
      <c r="G94" s="494" t="s">
        <v>100</v>
      </c>
    </row>
    <row r="95" spans="1:7" x14ac:dyDescent="0.2">
      <c r="B95" s="492"/>
      <c r="C95" s="495"/>
      <c r="D95" s="132" t="s">
        <v>284</v>
      </c>
      <c r="E95" s="133">
        <v>35263</v>
      </c>
      <c r="F95" s="131">
        <v>35271</v>
      </c>
      <c r="G95" s="494"/>
    </row>
    <row r="96" spans="1:7" x14ac:dyDescent="0.2">
      <c r="B96" s="492"/>
      <c r="C96" s="495"/>
      <c r="D96" s="132" t="s">
        <v>285</v>
      </c>
      <c r="E96" s="133">
        <v>36327</v>
      </c>
      <c r="F96" s="131">
        <v>36413</v>
      </c>
      <c r="G96" s="494"/>
    </row>
    <row r="97" spans="1:7" x14ac:dyDescent="0.2">
      <c r="B97" s="492"/>
      <c r="C97" s="495"/>
      <c r="D97" s="132" t="s">
        <v>286</v>
      </c>
      <c r="E97" s="133">
        <v>37085</v>
      </c>
      <c r="F97" s="131">
        <v>37092</v>
      </c>
      <c r="G97" s="494"/>
    </row>
    <row r="98" spans="1:7" x14ac:dyDescent="0.2">
      <c r="B98" s="490">
        <v>131</v>
      </c>
      <c r="C98" s="489" t="s">
        <v>517</v>
      </c>
      <c r="D98" s="256" t="s">
        <v>330</v>
      </c>
      <c r="E98" s="260">
        <v>39407</v>
      </c>
      <c r="F98" s="260">
        <v>39407</v>
      </c>
      <c r="G98" s="491" t="s">
        <v>100</v>
      </c>
    </row>
    <row r="99" spans="1:7" x14ac:dyDescent="0.2">
      <c r="A99" s="125" t="s">
        <v>238</v>
      </c>
      <c r="B99" s="490"/>
      <c r="C99" s="489"/>
      <c r="D99" s="256" t="s">
        <v>331</v>
      </c>
      <c r="E99" s="260">
        <v>39673</v>
      </c>
      <c r="F99" s="260">
        <v>39701</v>
      </c>
      <c r="G99" s="491"/>
    </row>
    <row r="100" spans="1:7" x14ac:dyDescent="0.2">
      <c r="B100" s="490"/>
      <c r="C100" s="489"/>
      <c r="D100" s="256" t="s">
        <v>332</v>
      </c>
      <c r="E100" s="260">
        <v>42851</v>
      </c>
      <c r="F100" s="260">
        <v>42867</v>
      </c>
      <c r="G100" s="491"/>
    </row>
    <row r="101" spans="1:7" ht="11.25" customHeight="1" x14ac:dyDescent="0.2">
      <c r="B101" s="485">
        <v>56</v>
      </c>
      <c r="C101" s="486" t="s">
        <v>287</v>
      </c>
      <c r="D101" s="130" t="s">
        <v>288</v>
      </c>
      <c r="E101" s="131">
        <v>38226</v>
      </c>
      <c r="F101" s="131">
        <v>38237</v>
      </c>
      <c r="G101" s="487" t="s">
        <v>100</v>
      </c>
    </row>
    <row r="102" spans="1:7" x14ac:dyDescent="0.2">
      <c r="B102" s="485"/>
      <c r="C102" s="486"/>
      <c r="D102" s="130"/>
      <c r="E102" s="259"/>
      <c r="F102" s="259"/>
      <c r="G102" s="487"/>
    </row>
    <row r="103" spans="1:7" x14ac:dyDescent="0.2">
      <c r="B103" s="485"/>
      <c r="C103" s="486"/>
      <c r="D103" s="130" t="s">
        <v>289</v>
      </c>
      <c r="E103" s="131">
        <v>38699</v>
      </c>
      <c r="F103" s="131">
        <v>38702</v>
      </c>
      <c r="G103" s="487"/>
    </row>
    <row r="104" spans="1:7" x14ac:dyDescent="0.2">
      <c r="B104" s="485"/>
      <c r="C104" s="486"/>
      <c r="D104" s="130"/>
      <c r="E104" s="259"/>
      <c r="F104" s="259"/>
      <c r="G104" s="487"/>
    </row>
    <row r="105" spans="1:7" x14ac:dyDescent="0.2">
      <c r="A105" s="125" t="s">
        <v>238</v>
      </c>
      <c r="B105" s="485"/>
      <c r="C105" s="486"/>
      <c r="D105" s="130" t="s">
        <v>290</v>
      </c>
      <c r="E105" s="131">
        <v>38926</v>
      </c>
      <c r="F105" s="131">
        <v>38957</v>
      </c>
      <c r="G105" s="487"/>
    </row>
    <row r="106" spans="1:7" x14ac:dyDescent="0.2">
      <c r="B106" s="485"/>
      <c r="C106" s="486"/>
      <c r="D106" s="130"/>
      <c r="E106" s="259"/>
      <c r="F106" s="259"/>
      <c r="G106" s="487"/>
    </row>
    <row r="107" spans="1:7" x14ac:dyDescent="0.2">
      <c r="B107" s="485"/>
      <c r="C107" s="486"/>
      <c r="D107" s="130" t="s">
        <v>291</v>
      </c>
      <c r="E107" s="131">
        <v>40067</v>
      </c>
      <c r="F107" s="131">
        <v>40198</v>
      </c>
      <c r="G107" s="487"/>
    </row>
    <row r="108" spans="1:7" x14ac:dyDescent="0.2">
      <c r="B108" s="485"/>
      <c r="C108" s="486"/>
      <c r="D108" s="130"/>
      <c r="E108" s="259"/>
      <c r="F108" s="259"/>
      <c r="G108" s="487"/>
    </row>
    <row r="109" spans="1:7" x14ac:dyDescent="0.2">
      <c r="B109" s="485"/>
      <c r="C109" s="486"/>
      <c r="D109" s="130"/>
      <c r="E109" s="259"/>
      <c r="F109" s="259"/>
      <c r="G109" s="487"/>
    </row>
    <row r="110" spans="1:7" ht="11.25" customHeight="1" x14ac:dyDescent="0.2">
      <c r="B110" s="478">
        <v>88</v>
      </c>
      <c r="C110" s="479" t="s">
        <v>292</v>
      </c>
      <c r="D110" s="98" t="s">
        <v>293</v>
      </c>
      <c r="E110" s="101">
        <v>36867</v>
      </c>
      <c r="F110" s="101">
        <v>36869</v>
      </c>
      <c r="G110" s="480" t="s">
        <v>100</v>
      </c>
    </row>
    <row r="111" spans="1:7" x14ac:dyDescent="0.2">
      <c r="B111" s="478"/>
      <c r="C111" s="479"/>
      <c r="D111" s="98" t="s">
        <v>294</v>
      </c>
      <c r="E111" s="101">
        <v>37923</v>
      </c>
      <c r="F111" s="101">
        <v>37925</v>
      </c>
      <c r="G111" s="480"/>
    </row>
    <row r="112" spans="1:7" x14ac:dyDescent="0.2">
      <c r="B112" s="478"/>
      <c r="C112" s="479"/>
      <c r="D112" s="98" t="s">
        <v>295</v>
      </c>
      <c r="E112" s="101">
        <v>38163</v>
      </c>
      <c r="F112" s="101">
        <v>38218</v>
      </c>
      <c r="G112" s="480"/>
    </row>
    <row r="113" spans="1:7" x14ac:dyDescent="0.2">
      <c r="B113" s="478"/>
      <c r="C113" s="479"/>
      <c r="D113" s="98" t="s">
        <v>296</v>
      </c>
      <c r="E113" s="101">
        <v>38699</v>
      </c>
      <c r="F113" s="101">
        <v>38702</v>
      </c>
      <c r="G113" s="480"/>
    </row>
    <row r="114" spans="1:7" x14ac:dyDescent="0.2">
      <c r="A114" s="125" t="s">
        <v>238</v>
      </c>
      <c r="B114" s="478"/>
      <c r="C114" s="479"/>
      <c r="D114" s="98" t="s">
        <v>297</v>
      </c>
      <c r="E114" s="101">
        <v>38730</v>
      </c>
      <c r="F114" s="101">
        <v>38736</v>
      </c>
      <c r="G114" s="480"/>
    </row>
    <row r="115" spans="1:7" x14ac:dyDescent="0.2">
      <c r="B115" s="478"/>
      <c r="C115" s="479"/>
      <c r="D115" s="98" t="s">
        <v>298</v>
      </c>
      <c r="E115" s="101">
        <v>38926</v>
      </c>
      <c r="F115" s="101">
        <v>39042</v>
      </c>
      <c r="G115" s="480"/>
    </row>
    <row r="116" spans="1:7" x14ac:dyDescent="0.2">
      <c r="B116" s="478"/>
      <c r="C116" s="479"/>
      <c r="D116" s="98" t="s">
        <v>299</v>
      </c>
      <c r="E116" s="101">
        <v>39024</v>
      </c>
      <c r="F116" s="101">
        <v>39070</v>
      </c>
      <c r="G116" s="480"/>
    </row>
    <row r="117" spans="1:7" x14ac:dyDescent="0.2">
      <c r="B117" s="478"/>
      <c r="C117" s="479"/>
      <c r="D117" s="98" t="s">
        <v>300</v>
      </c>
      <c r="E117" s="101">
        <v>40064</v>
      </c>
      <c r="F117" s="101">
        <v>40157</v>
      </c>
      <c r="G117" s="480"/>
    </row>
    <row r="118" spans="1:7" x14ac:dyDescent="0.2">
      <c r="B118" s="478"/>
      <c r="C118" s="479"/>
      <c r="D118" s="98" t="s">
        <v>301</v>
      </c>
      <c r="E118" s="101">
        <v>41847</v>
      </c>
      <c r="F118" s="101">
        <v>41857</v>
      </c>
      <c r="G118" s="480"/>
    </row>
    <row r="119" spans="1:7" x14ac:dyDescent="0.2">
      <c r="A119" s="125" t="s">
        <v>238</v>
      </c>
      <c r="B119" s="485">
        <v>57</v>
      </c>
      <c r="C119" s="486" t="s">
        <v>302</v>
      </c>
      <c r="D119" s="130" t="s">
        <v>303</v>
      </c>
      <c r="E119" s="131">
        <v>37974</v>
      </c>
      <c r="F119" s="131">
        <v>38013</v>
      </c>
      <c r="G119" s="487" t="s">
        <v>100</v>
      </c>
    </row>
    <row r="120" spans="1:7" x14ac:dyDescent="0.2">
      <c r="B120" s="485"/>
      <c r="C120" s="486"/>
      <c r="D120" s="130" t="s">
        <v>304</v>
      </c>
      <c r="E120" s="131">
        <v>38948</v>
      </c>
      <c r="F120" s="131">
        <v>39118</v>
      </c>
      <c r="G120" s="487"/>
    </row>
    <row r="121" spans="1:7" x14ac:dyDescent="0.2">
      <c r="B121" s="485"/>
      <c r="C121" s="486"/>
      <c r="D121" s="130" t="s">
        <v>305</v>
      </c>
      <c r="E121" s="131">
        <v>39458</v>
      </c>
      <c r="F121" s="131">
        <v>39469</v>
      </c>
      <c r="G121" s="487"/>
    </row>
    <row r="122" spans="1:7" x14ac:dyDescent="0.2">
      <c r="B122" s="485"/>
      <c r="C122" s="486"/>
      <c r="D122" s="130" t="s">
        <v>306</v>
      </c>
      <c r="E122" s="131">
        <v>41949</v>
      </c>
      <c r="F122" s="131">
        <v>41949</v>
      </c>
      <c r="G122" s="487"/>
    </row>
    <row r="123" spans="1:7" ht="15" customHeight="1" x14ac:dyDescent="0.2">
      <c r="B123" s="478">
        <v>58</v>
      </c>
      <c r="C123" s="482" t="s">
        <v>307</v>
      </c>
      <c r="D123" s="98" t="s">
        <v>308</v>
      </c>
      <c r="E123" s="101">
        <v>38526</v>
      </c>
      <c r="F123" s="101">
        <v>38545</v>
      </c>
      <c r="G123" s="480" t="s">
        <v>100</v>
      </c>
    </row>
    <row r="124" spans="1:7" x14ac:dyDescent="0.2">
      <c r="B124" s="478"/>
      <c r="C124" s="482"/>
      <c r="D124" s="98" t="s">
        <v>309</v>
      </c>
      <c r="E124" s="101">
        <v>41351</v>
      </c>
      <c r="F124" s="101">
        <v>41365</v>
      </c>
      <c r="G124" s="480"/>
    </row>
    <row r="125" spans="1:7" x14ac:dyDescent="0.2">
      <c r="A125" s="125" t="s">
        <v>238</v>
      </c>
      <c r="B125" s="481"/>
      <c r="C125" s="483"/>
      <c r="D125" s="257" t="s">
        <v>310</v>
      </c>
      <c r="E125" s="258">
        <v>41790</v>
      </c>
      <c r="F125" s="258">
        <v>41949</v>
      </c>
      <c r="G125" s="484"/>
    </row>
    <row r="127" spans="1:7" x14ac:dyDescent="0.2">
      <c r="B127" s="1" t="s">
        <v>513</v>
      </c>
    </row>
  </sheetData>
  <mergeCells count="70">
    <mergeCell ref="B2:G2"/>
    <mergeCell ref="C98:C100"/>
    <mergeCell ref="B98:B100"/>
    <mergeCell ref="G98:G100"/>
    <mergeCell ref="B119:B122"/>
    <mergeCell ref="C119:C122"/>
    <mergeCell ref="G119:G122"/>
    <mergeCell ref="B84:B92"/>
    <mergeCell ref="C84:C92"/>
    <mergeCell ref="G84:G92"/>
    <mergeCell ref="B94:B97"/>
    <mergeCell ref="C94:C97"/>
    <mergeCell ref="G94:G97"/>
    <mergeCell ref="B65:B73"/>
    <mergeCell ref="C65:C73"/>
    <mergeCell ref="G65:G73"/>
    <mergeCell ref="B123:B125"/>
    <mergeCell ref="C123:C125"/>
    <mergeCell ref="G123:G125"/>
    <mergeCell ref="B101:B109"/>
    <mergeCell ref="C101:C109"/>
    <mergeCell ref="G101:G109"/>
    <mergeCell ref="B110:B118"/>
    <mergeCell ref="C110:C118"/>
    <mergeCell ref="G110:G118"/>
    <mergeCell ref="B74:B83"/>
    <mergeCell ref="C74:C83"/>
    <mergeCell ref="G74:G83"/>
    <mergeCell ref="B57:B58"/>
    <mergeCell ref="C57:C58"/>
    <mergeCell ref="G57:G58"/>
    <mergeCell ref="B60:B64"/>
    <mergeCell ref="C60:C64"/>
    <mergeCell ref="G60:G64"/>
    <mergeCell ref="B48:B49"/>
    <mergeCell ref="C48:C49"/>
    <mergeCell ref="G48:G49"/>
    <mergeCell ref="B50:B56"/>
    <mergeCell ref="C50:C56"/>
    <mergeCell ref="G50:G56"/>
    <mergeCell ref="B43:B45"/>
    <mergeCell ref="C43:C45"/>
    <mergeCell ref="G43:G45"/>
    <mergeCell ref="B46:B47"/>
    <mergeCell ref="C46:C47"/>
    <mergeCell ref="G46:G47"/>
    <mergeCell ref="B31:B39"/>
    <mergeCell ref="C31:C39"/>
    <mergeCell ref="G31:G39"/>
    <mergeCell ref="B40:B42"/>
    <mergeCell ref="C40:C42"/>
    <mergeCell ref="G40:G42"/>
    <mergeCell ref="B22:B23"/>
    <mergeCell ref="C22:C23"/>
    <mergeCell ref="G22:G23"/>
    <mergeCell ref="B24:B28"/>
    <mergeCell ref="C24:C28"/>
    <mergeCell ref="G24:G28"/>
    <mergeCell ref="B7:B12"/>
    <mergeCell ref="C7:C12"/>
    <mergeCell ref="G7:G12"/>
    <mergeCell ref="B13:B19"/>
    <mergeCell ref="C13:C19"/>
    <mergeCell ref="G13:G19"/>
    <mergeCell ref="B4:G4"/>
    <mergeCell ref="B5:B6"/>
    <mergeCell ref="C5:C6"/>
    <mergeCell ref="E5:E6"/>
    <mergeCell ref="F5:F6"/>
    <mergeCell ref="G5:G6"/>
  </mergeCells>
  <pageMargins left="0.7" right="0.7" top="0.75" bottom="0.75" header="0.3" footer="0.3"/>
  <pageSetup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C1:Q52"/>
  <sheetViews>
    <sheetView showGridLines="0" topLeftCell="I25" workbookViewId="0">
      <selection activeCell="J35" sqref="J35"/>
    </sheetView>
  </sheetViews>
  <sheetFormatPr baseColWidth="10" defaultColWidth="11.42578125" defaultRowHeight="14.45" customHeight="1" x14ac:dyDescent="0.25"/>
  <cols>
    <col min="1" max="2" width="11.42578125" style="3"/>
    <col min="3" max="3" width="11.42578125" style="2"/>
    <col min="4" max="4" width="31.42578125" style="1" customWidth="1"/>
    <col min="5" max="7" width="11.42578125" style="3"/>
    <col min="8" max="8" width="11.42578125" style="2"/>
    <col min="9" max="16384" width="11.42578125" style="3"/>
  </cols>
  <sheetData>
    <row r="1" spans="3:17" s="2" customFormat="1" ht="14.45" customHeight="1" x14ac:dyDescent="0.25">
      <c r="C1" s="466" t="s">
        <v>311</v>
      </c>
      <c r="D1" s="467"/>
      <c r="E1" s="467"/>
      <c r="F1" s="467"/>
      <c r="G1" s="467"/>
      <c r="H1" s="468"/>
    </row>
    <row r="2" spans="3:17" s="2" customFormat="1" ht="14.45" customHeight="1" x14ac:dyDescent="0.25">
      <c r="C2" s="469" t="s">
        <v>4</v>
      </c>
      <c r="D2" s="470" t="s">
        <v>89</v>
      </c>
      <c r="E2" s="124" t="s">
        <v>168</v>
      </c>
      <c r="F2" s="471" t="s">
        <v>169</v>
      </c>
      <c r="G2" s="471" t="s">
        <v>170</v>
      </c>
      <c r="H2" s="472" t="s">
        <v>171</v>
      </c>
    </row>
    <row r="3" spans="3:17" s="2" customFormat="1" ht="14.45" customHeight="1" x14ac:dyDescent="0.25">
      <c r="C3" s="469"/>
      <c r="D3" s="470"/>
      <c r="E3" s="124" t="s">
        <v>93</v>
      </c>
      <c r="F3" s="471"/>
      <c r="G3" s="471"/>
      <c r="H3" s="472"/>
    </row>
    <row r="4" spans="3:17" s="2" customFormat="1" ht="14.45" customHeight="1" x14ac:dyDescent="0.25">
      <c r="C4" s="497">
        <v>67</v>
      </c>
      <c r="D4" s="498" t="s">
        <v>312</v>
      </c>
      <c r="E4" s="136" t="s">
        <v>271</v>
      </c>
      <c r="F4" s="137">
        <v>35043</v>
      </c>
      <c r="G4" s="137">
        <v>35046</v>
      </c>
      <c r="H4" s="499" t="s">
        <v>100</v>
      </c>
    </row>
    <row r="5" spans="3:17" s="2" customFormat="1" ht="14.45" customHeight="1" x14ac:dyDescent="0.25">
      <c r="C5" s="497"/>
      <c r="D5" s="498"/>
      <c r="E5" s="136" t="s">
        <v>272</v>
      </c>
      <c r="F5" s="137">
        <v>35790</v>
      </c>
      <c r="G5" s="137">
        <v>35852</v>
      </c>
      <c r="H5" s="499"/>
    </row>
    <row r="6" spans="3:17" s="2" customFormat="1" ht="14.45" customHeight="1" x14ac:dyDescent="0.25">
      <c r="C6" s="497"/>
      <c r="D6" s="498"/>
      <c r="E6" s="136" t="s">
        <v>273</v>
      </c>
      <c r="F6" s="137">
        <v>36421</v>
      </c>
      <c r="G6" s="137">
        <v>36549</v>
      </c>
      <c r="H6" s="499"/>
    </row>
    <row r="7" spans="3:17" s="2" customFormat="1" ht="14.45" customHeight="1" x14ac:dyDescent="0.25">
      <c r="C7" s="497"/>
      <c r="D7" s="498"/>
      <c r="E7" s="136" t="s">
        <v>274</v>
      </c>
      <c r="F7" s="137">
        <v>36927</v>
      </c>
      <c r="G7" s="137">
        <v>37004</v>
      </c>
      <c r="H7" s="499"/>
    </row>
    <row r="8" spans="3:17" s="2" customFormat="1" ht="14.45" customHeight="1" x14ac:dyDescent="0.25">
      <c r="C8" s="497"/>
      <c r="D8" s="498"/>
      <c r="E8" s="136" t="s">
        <v>275</v>
      </c>
      <c r="F8" s="137">
        <v>37700</v>
      </c>
      <c r="G8" s="137">
        <v>37712</v>
      </c>
      <c r="H8" s="499"/>
    </row>
    <row r="9" spans="3:17" s="2" customFormat="1" ht="14.45" customHeight="1" x14ac:dyDescent="0.25">
      <c r="C9" s="497"/>
      <c r="D9" s="498"/>
      <c r="E9" s="136" t="s">
        <v>276</v>
      </c>
      <c r="F9" s="137">
        <v>38645</v>
      </c>
      <c r="G9" s="137">
        <v>38684</v>
      </c>
      <c r="H9" s="499"/>
    </row>
    <row r="10" spans="3:17" s="2" customFormat="1" ht="14.45" customHeight="1" x14ac:dyDescent="0.25">
      <c r="C10" s="497"/>
      <c r="D10" s="498"/>
      <c r="E10" s="136" t="s">
        <v>277</v>
      </c>
      <c r="F10" s="137">
        <v>39403</v>
      </c>
      <c r="G10" s="137">
        <v>39414</v>
      </c>
      <c r="H10" s="499"/>
      <c r="K10" s="2" t="s">
        <v>313</v>
      </c>
      <c r="L10" s="2">
        <f>COUNTIF('07'!$A$7:$A$125, "C")</f>
        <v>11</v>
      </c>
      <c r="M10" s="262">
        <f>+L10/$L$13</f>
        <v>0.42307692307692307</v>
      </c>
    </row>
    <row r="11" spans="3:17" s="2" customFormat="1" ht="14.45" customHeight="1" x14ac:dyDescent="0.25">
      <c r="C11" s="497"/>
      <c r="D11" s="498"/>
      <c r="E11" s="136" t="s">
        <v>314</v>
      </c>
      <c r="F11" s="137">
        <v>40379</v>
      </c>
      <c r="G11" s="137">
        <v>40422</v>
      </c>
      <c r="H11" s="499"/>
      <c r="K11" s="2" t="s">
        <v>315</v>
      </c>
      <c r="L11" s="2">
        <f>COUNTIF('07'!$A$7:$A$125, "Z")</f>
        <v>3</v>
      </c>
      <c r="M11" s="262">
        <f t="shared" ref="M11:M12" si="0">+L11/$L$13</f>
        <v>0.11538461538461539</v>
      </c>
    </row>
    <row r="12" spans="3:17" s="2" customFormat="1" ht="14.45" customHeight="1" x14ac:dyDescent="0.25">
      <c r="C12" s="497"/>
      <c r="D12" s="498"/>
      <c r="E12" s="136" t="s">
        <v>316</v>
      </c>
      <c r="F12" s="137">
        <v>41588</v>
      </c>
      <c r="G12" s="137">
        <v>41588</v>
      </c>
      <c r="H12" s="499"/>
      <c r="K12" s="2" t="s">
        <v>317</v>
      </c>
      <c r="L12" s="2">
        <f>COUNTIF('07'!$A$7:$A$125, "S")</f>
        <v>12</v>
      </c>
      <c r="M12" s="262">
        <f t="shared" si="0"/>
        <v>0.46153846153846156</v>
      </c>
    </row>
    <row r="13" spans="3:17" ht="14.45" customHeight="1" x14ac:dyDescent="0.25">
      <c r="C13" s="473">
        <v>64</v>
      </c>
      <c r="D13" s="448" t="s">
        <v>318</v>
      </c>
      <c r="E13" s="70" t="s">
        <v>319</v>
      </c>
      <c r="F13" s="71">
        <v>35008</v>
      </c>
      <c r="G13" s="71">
        <v>35040</v>
      </c>
      <c r="H13" s="455" t="s">
        <v>100</v>
      </c>
      <c r="L13" s="3">
        <f>SUM(L10:L12)</f>
        <v>26</v>
      </c>
    </row>
    <row r="14" spans="3:17" ht="14.45" customHeight="1" x14ac:dyDescent="0.25">
      <c r="C14" s="473"/>
      <c r="D14" s="448"/>
      <c r="E14" s="70" t="s">
        <v>320</v>
      </c>
      <c r="F14" s="71">
        <v>36422</v>
      </c>
      <c r="G14" s="71">
        <v>36459</v>
      </c>
      <c r="H14" s="455"/>
      <c r="J14" s="436" t="s">
        <v>520</v>
      </c>
      <c r="K14" s="436"/>
      <c r="L14" s="436"/>
      <c r="M14" s="436"/>
      <c r="N14" s="436"/>
      <c r="O14" s="436"/>
      <c r="P14" s="73"/>
      <c r="Q14" s="73"/>
    </row>
    <row r="15" spans="3:17" ht="14.45" customHeight="1" x14ac:dyDescent="0.25">
      <c r="C15" s="473"/>
      <c r="D15" s="448"/>
      <c r="E15" s="70" t="s">
        <v>321</v>
      </c>
      <c r="F15" s="71">
        <v>36926</v>
      </c>
      <c r="G15" s="71">
        <v>37021</v>
      </c>
      <c r="H15" s="455"/>
    </row>
    <row r="16" spans="3:17" ht="14.45" customHeight="1" x14ac:dyDescent="0.25">
      <c r="C16" s="473"/>
      <c r="D16" s="448"/>
      <c r="E16" s="70" t="s">
        <v>322</v>
      </c>
      <c r="F16" s="71">
        <v>38061</v>
      </c>
      <c r="G16" s="71">
        <v>38063</v>
      </c>
      <c r="H16" s="455"/>
    </row>
    <row r="17" spans="3:8" ht="14.45" customHeight="1" x14ac:dyDescent="0.25">
      <c r="C17" s="473"/>
      <c r="D17" s="448"/>
      <c r="E17" s="70" t="s">
        <v>264</v>
      </c>
      <c r="F17" s="71">
        <v>38190</v>
      </c>
      <c r="G17" s="71">
        <v>38208</v>
      </c>
      <c r="H17" s="455"/>
    </row>
    <row r="18" spans="3:8" ht="14.45" customHeight="1" x14ac:dyDescent="0.25">
      <c r="C18" s="473"/>
      <c r="D18" s="448"/>
      <c r="E18" s="70" t="s">
        <v>265</v>
      </c>
      <c r="F18" s="71">
        <v>39407</v>
      </c>
      <c r="G18" s="71">
        <v>39421</v>
      </c>
      <c r="H18" s="455"/>
    </row>
    <row r="19" spans="3:8" ht="14.45" customHeight="1" x14ac:dyDescent="0.25">
      <c r="C19" s="473"/>
      <c r="D19" s="448"/>
      <c r="E19" s="70" t="s">
        <v>266</v>
      </c>
      <c r="F19" s="71">
        <v>40220</v>
      </c>
      <c r="G19" s="71">
        <v>40273</v>
      </c>
      <c r="H19" s="455"/>
    </row>
    <row r="20" spans="3:8" ht="14.45" customHeight="1" x14ac:dyDescent="0.25">
      <c r="C20" s="473"/>
      <c r="D20" s="448"/>
      <c r="E20" s="70" t="s">
        <v>267</v>
      </c>
      <c r="F20" s="71">
        <v>40297</v>
      </c>
      <c r="G20" s="71">
        <v>40309</v>
      </c>
      <c r="H20" s="455"/>
    </row>
    <row r="21" spans="3:8" ht="14.45" customHeight="1" x14ac:dyDescent="0.25">
      <c r="C21" s="473"/>
      <c r="D21" s="448"/>
      <c r="E21" s="70" t="s">
        <v>323</v>
      </c>
      <c r="F21" s="71">
        <v>41390</v>
      </c>
      <c r="G21" s="71">
        <v>41393</v>
      </c>
      <c r="H21" s="455"/>
    </row>
    <row r="22" spans="3:8" ht="14.45" customHeight="1" x14ac:dyDescent="0.25">
      <c r="C22" s="473"/>
      <c r="D22" s="448"/>
      <c r="E22" s="70" t="s">
        <v>269</v>
      </c>
      <c r="F22" s="71">
        <v>42705</v>
      </c>
      <c r="G22" s="71">
        <v>42706</v>
      </c>
      <c r="H22" s="455"/>
    </row>
    <row r="23" spans="3:8" ht="14.45" customHeight="1" x14ac:dyDescent="0.25">
      <c r="C23" s="504" t="s">
        <v>163</v>
      </c>
      <c r="D23" s="505" t="s">
        <v>324</v>
      </c>
      <c r="E23" s="62" t="s">
        <v>283</v>
      </c>
      <c r="F23" s="63">
        <v>34423</v>
      </c>
      <c r="G23" s="63">
        <v>34423</v>
      </c>
      <c r="H23" s="460" t="s">
        <v>100</v>
      </c>
    </row>
    <row r="24" spans="3:8" ht="14.45" customHeight="1" x14ac:dyDescent="0.25">
      <c r="C24" s="504"/>
      <c r="D24" s="505"/>
      <c r="E24" s="62" t="s">
        <v>284</v>
      </c>
      <c r="F24" s="63">
        <v>35263</v>
      </c>
      <c r="G24" s="63">
        <v>35271</v>
      </c>
      <c r="H24" s="460"/>
    </row>
    <row r="25" spans="3:8" ht="14.45" customHeight="1" x14ac:dyDescent="0.25">
      <c r="C25" s="504"/>
      <c r="D25" s="505"/>
      <c r="E25" s="62" t="s">
        <v>325</v>
      </c>
      <c r="F25" s="63">
        <v>36327</v>
      </c>
      <c r="G25" s="63">
        <v>36413</v>
      </c>
      <c r="H25" s="460"/>
    </row>
    <row r="26" spans="3:8" ht="14.45" customHeight="1" x14ac:dyDescent="0.25">
      <c r="C26" s="504"/>
      <c r="D26" s="505"/>
      <c r="E26" s="62" t="s">
        <v>286</v>
      </c>
      <c r="F26" s="63">
        <v>37085</v>
      </c>
      <c r="G26" s="63">
        <v>37092</v>
      </c>
      <c r="H26" s="460"/>
    </row>
    <row r="27" spans="3:8" s="121" customFormat="1" ht="23.25" customHeight="1" x14ac:dyDescent="0.25">
      <c r="C27" s="450">
        <v>56</v>
      </c>
      <c r="D27" s="506" t="s">
        <v>326</v>
      </c>
      <c r="E27" s="138" t="s">
        <v>288</v>
      </c>
      <c r="F27" s="72">
        <v>38226</v>
      </c>
      <c r="G27" s="72">
        <v>38237</v>
      </c>
      <c r="H27" s="477" t="s">
        <v>100</v>
      </c>
    </row>
    <row r="28" spans="3:8" s="121" customFormat="1" ht="23.25" customHeight="1" x14ac:dyDescent="0.25">
      <c r="C28" s="450"/>
      <c r="D28" s="506"/>
      <c r="E28" s="138" t="s">
        <v>289</v>
      </c>
      <c r="F28" s="72">
        <v>38699</v>
      </c>
      <c r="G28" s="72">
        <v>38702</v>
      </c>
      <c r="H28" s="477"/>
    </row>
    <row r="29" spans="3:8" s="121" customFormat="1" ht="23.25" customHeight="1" x14ac:dyDescent="0.25">
      <c r="C29" s="450"/>
      <c r="D29" s="506"/>
      <c r="E29" s="138" t="s">
        <v>290</v>
      </c>
      <c r="F29" s="72">
        <v>38926</v>
      </c>
      <c r="G29" s="72">
        <v>38957</v>
      </c>
      <c r="H29" s="477"/>
    </row>
    <row r="30" spans="3:8" s="121" customFormat="1" ht="23.25" customHeight="1" x14ac:dyDescent="0.25">
      <c r="C30" s="450"/>
      <c r="D30" s="506"/>
      <c r="E30" s="138" t="s">
        <v>291</v>
      </c>
      <c r="F30" s="72">
        <v>40067</v>
      </c>
      <c r="G30" s="72">
        <v>40198</v>
      </c>
      <c r="H30" s="477"/>
    </row>
    <row r="31" spans="3:8" s="121" customFormat="1" ht="14.45" customHeight="1" x14ac:dyDescent="0.25">
      <c r="C31" s="504">
        <v>58</v>
      </c>
      <c r="D31" s="505" t="s">
        <v>327</v>
      </c>
      <c r="E31" s="62" t="s">
        <v>308</v>
      </c>
      <c r="F31" s="63">
        <v>38526</v>
      </c>
      <c r="G31" s="63">
        <v>38545</v>
      </c>
      <c r="H31" s="460" t="s">
        <v>100</v>
      </c>
    </row>
    <row r="32" spans="3:8" s="121" customFormat="1" ht="14.45" customHeight="1" x14ac:dyDescent="0.25">
      <c r="C32" s="504"/>
      <c r="D32" s="505"/>
      <c r="E32" s="62" t="s">
        <v>309</v>
      </c>
      <c r="F32" s="63">
        <v>41351</v>
      </c>
      <c r="G32" s="63">
        <v>41365</v>
      </c>
      <c r="H32" s="460"/>
    </row>
    <row r="33" spans="3:17" s="121" customFormat="1" ht="14.45" customHeight="1" x14ac:dyDescent="0.25">
      <c r="C33" s="450"/>
      <c r="D33" s="506"/>
      <c r="E33" s="138" t="s">
        <v>294</v>
      </c>
      <c r="F33" s="72">
        <v>37923</v>
      </c>
      <c r="G33" s="72">
        <v>37925</v>
      </c>
      <c r="H33" s="477"/>
    </row>
    <row r="34" spans="3:17" s="121" customFormat="1" ht="11.25" x14ac:dyDescent="0.25">
      <c r="C34" s="450"/>
      <c r="D34" s="506"/>
      <c r="E34" s="138" t="s">
        <v>295</v>
      </c>
      <c r="F34" s="72">
        <v>38163</v>
      </c>
      <c r="G34" s="72">
        <v>38218</v>
      </c>
      <c r="H34" s="477"/>
    </row>
    <row r="35" spans="3:17" s="121" customFormat="1" ht="11.25" x14ac:dyDescent="0.2">
      <c r="C35" s="450"/>
      <c r="D35" s="506"/>
      <c r="E35" s="138" t="s">
        <v>296</v>
      </c>
      <c r="F35" s="72">
        <v>38699</v>
      </c>
      <c r="G35" s="72">
        <v>38702</v>
      </c>
      <c r="H35" s="477"/>
      <c r="J35" s="1" t="s">
        <v>513</v>
      </c>
      <c r="K35" s="3"/>
      <c r="L35" s="3"/>
      <c r="M35" s="3"/>
      <c r="N35" s="3"/>
      <c r="O35" s="4"/>
      <c r="P35" s="5"/>
      <c r="Q35" s="5"/>
    </row>
    <row r="36" spans="3:17" s="121" customFormat="1" ht="14.45" customHeight="1" x14ac:dyDescent="0.25">
      <c r="C36" s="450"/>
      <c r="D36" s="506"/>
      <c r="E36" s="138" t="s">
        <v>297</v>
      </c>
      <c r="F36" s="72">
        <v>38730</v>
      </c>
      <c r="G36" s="72">
        <v>38736</v>
      </c>
      <c r="H36" s="477"/>
      <c r="J36" s="438" t="s">
        <v>519</v>
      </c>
      <c r="K36" s="438"/>
      <c r="L36" s="438"/>
      <c r="M36" s="438"/>
      <c r="N36" s="438"/>
      <c r="O36" s="438"/>
      <c r="P36" s="438"/>
    </row>
    <row r="37" spans="3:17" s="121" customFormat="1" ht="14.45" customHeight="1" x14ac:dyDescent="0.25">
      <c r="C37" s="450"/>
      <c r="D37" s="506"/>
      <c r="E37" s="138" t="s">
        <v>298</v>
      </c>
      <c r="F37" s="72">
        <v>38926</v>
      </c>
      <c r="G37" s="72">
        <v>39042</v>
      </c>
      <c r="H37" s="477"/>
      <c r="J37" s="438"/>
      <c r="K37" s="438"/>
      <c r="L37" s="438"/>
      <c r="M37" s="438"/>
      <c r="N37" s="438"/>
      <c r="O37" s="438"/>
      <c r="P37" s="438"/>
    </row>
    <row r="38" spans="3:17" s="121" customFormat="1" ht="14.45" customHeight="1" x14ac:dyDescent="0.25">
      <c r="C38" s="450"/>
      <c r="D38" s="506"/>
      <c r="E38" s="138" t="s">
        <v>299</v>
      </c>
      <c r="F38" s="72">
        <v>39024</v>
      </c>
      <c r="G38" s="72">
        <v>39070</v>
      </c>
      <c r="H38" s="477"/>
      <c r="J38" s="438"/>
      <c r="K38" s="438"/>
      <c r="L38" s="438"/>
      <c r="M38" s="438"/>
      <c r="N38" s="438"/>
      <c r="O38" s="438"/>
      <c r="P38" s="438"/>
    </row>
    <row r="39" spans="3:17" s="121" customFormat="1" ht="14.45" customHeight="1" x14ac:dyDescent="0.25">
      <c r="C39" s="450"/>
      <c r="D39" s="506"/>
      <c r="E39" s="138" t="s">
        <v>300</v>
      </c>
      <c r="F39" s="72">
        <v>40064</v>
      </c>
      <c r="G39" s="72">
        <v>40157</v>
      </c>
      <c r="H39" s="477"/>
    </row>
    <row r="40" spans="3:17" s="121" customFormat="1" ht="14.45" customHeight="1" x14ac:dyDescent="0.25">
      <c r="C40" s="450"/>
      <c r="D40" s="506"/>
      <c r="E40" s="138" t="s">
        <v>301</v>
      </c>
      <c r="F40" s="72">
        <v>41847</v>
      </c>
      <c r="G40" s="72">
        <v>41857</v>
      </c>
      <c r="H40" s="477"/>
    </row>
    <row r="41" spans="3:17" ht="11.25" customHeight="1" x14ac:dyDescent="0.25">
      <c r="C41" s="474">
        <v>57</v>
      </c>
      <c r="D41" s="446" t="s">
        <v>328</v>
      </c>
      <c r="E41" s="75" t="s">
        <v>303</v>
      </c>
      <c r="F41" s="76">
        <v>37974</v>
      </c>
      <c r="G41" s="76">
        <v>38013</v>
      </c>
      <c r="H41" s="476" t="s">
        <v>100</v>
      </c>
    </row>
    <row r="42" spans="3:17" ht="14.45" customHeight="1" x14ac:dyDescent="0.25">
      <c r="C42" s="474"/>
      <c r="D42" s="446"/>
      <c r="E42" s="75" t="s">
        <v>304</v>
      </c>
      <c r="F42" s="76">
        <v>38948</v>
      </c>
      <c r="G42" s="76">
        <v>39118</v>
      </c>
      <c r="H42" s="476"/>
    </row>
    <row r="43" spans="3:17" ht="14.45" customHeight="1" x14ac:dyDescent="0.25">
      <c r="C43" s="474"/>
      <c r="D43" s="446"/>
      <c r="E43" s="75" t="s">
        <v>305</v>
      </c>
      <c r="F43" s="76">
        <v>39458</v>
      </c>
      <c r="G43" s="76">
        <v>39469</v>
      </c>
      <c r="H43" s="476"/>
    </row>
    <row r="44" spans="3:17" ht="14.45" customHeight="1" x14ac:dyDescent="0.25">
      <c r="C44" s="474"/>
      <c r="D44" s="446"/>
      <c r="E44" s="75" t="s">
        <v>306</v>
      </c>
      <c r="F44" s="76">
        <v>41949</v>
      </c>
      <c r="G44" s="76">
        <v>41949</v>
      </c>
      <c r="H44" s="476"/>
    </row>
    <row r="45" spans="3:17" ht="11.25" x14ac:dyDescent="0.25">
      <c r="C45" s="473">
        <v>131</v>
      </c>
      <c r="D45" s="448" t="s">
        <v>329</v>
      </c>
      <c r="E45" s="70" t="s">
        <v>330</v>
      </c>
      <c r="F45" s="71">
        <v>39407</v>
      </c>
      <c r="G45" s="71">
        <v>39407</v>
      </c>
      <c r="H45" s="455" t="s">
        <v>100</v>
      </c>
    </row>
    <row r="46" spans="3:17" ht="11.25" x14ac:dyDescent="0.25">
      <c r="C46" s="473"/>
      <c r="D46" s="448"/>
      <c r="E46" s="70" t="s">
        <v>331</v>
      </c>
      <c r="F46" s="71">
        <v>39674</v>
      </c>
      <c r="G46" s="71">
        <v>39703</v>
      </c>
      <c r="H46" s="455"/>
    </row>
    <row r="47" spans="3:17" ht="11.25" x14ac:dyDescent="0.25">
      <c r="C47" s="473"/>
      <c r="D47" s="448"/>
      <c r="E47" s="70" t="s">
        <v>332</v>
      </c>
      <c r="F47" s="71">
        <v>42850</v>
      </c>
      <c r="G47" s="71">
        <v>42867</v>
      </c>
      <c r="H47" s="455"/>
    </row>
    <row r="48" spans="3:17" ht="14.45" customHeight="1" x14ac:dyDescent="0.25">
      <c r="C48" s="474">
        <v>95</v>
      </c>
      <c r="D48" s="446" t="s">
        <v>333</v>
      </c>
      <c r="E48" s="75" t="s">
        <v>281</v>
      </c>
      <c r="F48" s="76">
        <v>38429</v>
      </c>
      <c r="G48" s="76">
        <v>38449</v>
      </c>
      <c r="H48" s="476" t="s">
        <v>100</v>
      </c>
    </row>
    <row r="49" spans="3:8" ht="14.45" customHeight="1" x14ac:dyDescent="0.25">
      <c r="C49" s="474"/>
      <c r="D49" s="446"/>
      <c r="E49" s="75" t="s">
        <v>334</v>
      </c>
      <c r="F49" s="76">
        <v>40905</v>
      </c>
      <c r="G49" s="76">
        <v>40924</v>
      </c>
      <c r="H49" s="476"/>
    </row>
    <row r="50" spans="3:8" ht="14.45" customHeight="1" x14ac:dyDescent="0.25">
      <c r="C50" s="474"/>
      <c r="D50" s="446"/>
      <c r="E50" s="75" t="s">
        <v>335</v>
      </c>
      <c r="F50" s="76">
        <v>41296</v>
      </c>
      <c r="G50" s="76">
        <v>41316</v>
      </c>
      <c r="H50" s="476"/>
    </row>
    <row r="51" spans="3:8" ht="14.45" customHeight="1" x14ac:dyDescent="0.25">
      <c r="C51" s="474"/>
      <c r="D51" s="446"/>
      <c r="E51" s="75" t="s">
        <v>336</v>
      </c>
      <c r="F51" s="76">
        <v>43098</v>
      </c>
      <c r="G51" s="76">
        <v>43132</v>
      </c>
      <c r="H51" s="476"/>
    </row>
    <row r="52" spans="3:8" ht="14.45" customHeight="1" x14ac:dyDescent="0.25">
      <c r="C52" s="500" t="s">
        <v>337</v>
      </c>
      <c r="D52" s="501"/>
      <c r="E52" s="502">
        <v>26</v>
      </c>
      <c r="F52" s="502"/>
      <c r="G52" s="502"/>
      <c r="H52" s="503"/>
    </row>
  </sheetData>
  <mergeCells count="37">
    <mergeCell ref="J36:P38"/>
    <mergeCell ref="J14:O14"/>
    <mergeCell ref="C48:C51"/>
    <mergeCell ref="D48:D51"/>
    <mergeCell ref="H48:H51"/>
    <mergeCell ref="C31:C32"/>
    <mergeCell ref="D31:D32"/>
    <mergeCell ref="H31:H32"/>
    <mergeCell ref="C33:C40"/>
    <mergeCell ref="D33:D40"/>
    <mergeCell ref="H33:H40"/>
    <mergeCell ref="C23:C26"/>
    <mergeCell ref="D23:D26"/>
    <mergeCell ref="H23:H26"/>
    <mergeCell ref="C27:C30"/>
    <mergeCell ref="D27:D30"/>
    <mergeCell ref="C52:D52"/>
    <mergeCell ref="E52:H52"/>
    <mergeCell ref="C41:C44"/>
    <mergeCell ref="D41:D44"/>
    <mergeCell ref="H41:H44"/>
    <mergeCell ref="C45:C47"/>
    <mergeCell ref="D45:D47"/>
    <mergeCell ref="H45:H47"/>
    <mergeCell ref="H27:H30"/>
    <mergeCell ref="C4:C12"/>
    <mergeCell ref="D4:D12"/>
    <mergeCell ref="H4:H12"/>
    <mergeCell ref="C13:C22"/>
    <mergeCell ref="D13:D22"/>
    <mergeCell ref="H13:H22"/>
    <mergeCell ref="C1:H1"/>
    <mergeCell ref="C2:C3"/>
    <mergeCell ref="D2:D3"/>
    <mergeCell ref="F2:F3"/>
    <mergeCell ref="G2:G3"/>
    <mergeCell ref="H2:H3"/>
  </mergeCells>
  <pageMargins left="0.7" right="0.7" top="0.75" bottom="0.75" header="0.3" footer="0.3"/>
  <pageSetup scale="67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AG51"/>
  <sheetViews>
    <sheetView showGridLines="0" topLeftCell="A16" zoomScale="90" zoomScaleNormal="90" workbookViewId="0">
      <selection activeCell="C45" sqref="C45"/>
    </sheetView>
  </sheetViews>
  <sheetFormatPr baseColWidth="10" defaultColWidth="9.5703125" defaultRowHeight="11.25" x14ac:dyDescent="0.2"/>
  <cols>
    <col min="1" max="1" width="15.5703125" style="139" customWidth="1"/>
    <col min="2" max="10" width="9.5703125" style="139"/>
    <col min="11" max="11" width="10.140625" style="139" customWidth="1"/>
    <col min="12" max="16384" width="9.5703125" style="139"/>
  </cols>
  <sheetData>
    <row r="2" spans="1:24" ht="12" x14ac:dyDescent="0.2">
      <c r="A2" s="488" t="s">
        <v>521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</row>
    <row r="4" spans="1:24" ht="14.45" customHeight="1" x14ac:dyDescent="0.2">
      <c r="A4" s="509" t="s">
        <v>338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</row>
    <row r="5" spans="1:24" ht="14.45" customHeight="1" x14ac:dyDescent="0.2">
      <c r="A5" s="509">
        <v>2020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</row>
    <row r="6" spans="1:24" ht="14.45" customHeight="1" x14ac:dyDescent="0.2">
      <c r="A6" s="59" t="s">
        <v>3</v>
      </c>
      <c r="B6" s="59" t="s">
        <v>4</v>
      </c>
      <c r="C6" s="59" t="s">
        <v>339</v>
      </c>
      <c r="D6" s="59" t="s">
        <v>340</v>
      </c>
      <c r="E6" s="59" t="s">
        <v>341</v>
      </c>
      <c r="F6" s="59" t="s">
        <v>342</v>
      </c>
      <c r="G6" s="59" t="s">
        <v>343</v>
      </c>
      <c r="H6" s="59" t="s">
        <v>344</v>
      </c>
      <c r="I6" s="59" t="s">
        <v>345</v>
      </c>
      <c r="J6" s="59" t="s">
        <v>346</v>
      </c>
      <c r="K6" s="59" t="s">
        <v>347</v>
      </c>
      <c r="L6" s="59" t="s">
        <v>348</v>
      </c>
      <c r="M6" s="59" t="s">
        <v>349</v>
      </c>
      <c r="N6" s="59" t="s">
        <v>350</v>
      </c>
      <c r="O6" s="59" t="s">
        <v>47</v>
      </c>
    </row>
    <row r="7" spans="1:24" ht="14.45" customHeight="1" x14ac:dyDescent="0.2">
      <c r="A7" s="510" t="s">
        <v>351</v>
      </c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Q7" s="444" t="s">
        <v>522</v>
      </c>
      <c r="R7" s="444"/>
      <c r="S7" s="444"/>
      <c r="T7" s="444"/>
      <c r="U7" s="444"/>
      <c r="V7" s="444"/>
      <c r="W7" s="444"/>
      <c r="X7" s="444"/>
    </row>
    <row r="8" spans="1:24" ht="14.45" customHeight="1" x14ac:dyDescent="0.2">
      <c r="A8" s="9" t="s">
        <v>62</v>
      </c>
      <c r="B8" s="110" t="s">
        <v>154</v>
      </c>
      <c r="C8" s="140">
        <v>19851</v>
      </c>
      <c r="D8" s="11">
        <v>18414</v>
      </c>
      <c r="E8" s="11">
        <v>19691</v>
      </c>
      <c r="F8" s="11">
        <v>18168</v>
      </c>
      <c r="G8" s="11">
        <v>18094</v>
      </c>
      <c r="H8" s="11">
        <v>17913</v>
      </c>
      <c r="I8" s="11">
        <v>18995</v>
      </c>
      <c r="J8" s="11">
        <v>18167</v>
      </c>
      <c r="K8" s="11">
        <v>18427</v>
      </c>
      <c r="L8" s="11">
        <v>17802</v>
      </c>
      <c r="M8" s="11">
        <v>17599</v>
      </c>
      <c r="N8" s="11">
        <v>16500</v>
      </c>
      <c r="O8" s="49">
        <f>SUM(C8:N8)</f>
        <v>219621</v>
      </c>
      <c r="Q8" s="444"/>
      <c r="R8" s="444"/>
      <c r="S8" s="444"/>
      <c r="T8" s="444"/>
      <c r="U8" s="444"/>
      <c r="V8" s="444"/>
      <c r="W8" s="444"/>
      <c r="X8" s="444"/>
    </row>
    <row r="9" spans="1:24" ht="14.45" customHeight="1" x14ac:dyDescent="0.2">
      <c r="A9" s="9" t="s">
        <v>352</v>
      </c>
      <c r="B9" s="110" t="s">
        <v>156</v>
      </c>
      <c r="C9" s="140">
        <v>11264</v>
      </c>
      <c r="D9" s="11">
        <v>10571</v>
      </c>
      <c r="E9" s="11">
        <v>11574</v>
      </c>
      <c r="F9" s="11">
        <v>10828</v>
      </c>
      <c r="G9" s="11">
        <v>9777</v>
      </c>
      <c r="H9" s="11">
        <v>12956</v>
      </c>
      <c r="I9" s="11">
        <v>14429</v>
      </c>
      <c r="J9" s="11">
        <v>13599</v>
      </c>
      <c r="K9" s="11">
        <v>12298</v>
      </c>
      <c r="L9" s="11">
        <v>12963</v>
      </c>
      <c r="M9" s="11">
        <v>12120</v>
      </c>
      <c r="N9" s="11">
        <v>12023</v>
      </c>
      <c r="O9" s="49">
        <f t="shared" ref="O9:O18" si="0">SUM(C9:N9)</f>
        <v>144402</v>
      </c>
    </row>
    <row r="10" spans="1:24" ht="14.45" customHeight="1" x14ac:dyDescent="0.2">
      <c r="A10" s="9" t="s">
        <v>62</v>
      </c>
      <c r="B10" s="110" t="s">
        <v>64</v>
      </c>
      <c r="C10" s="140">
        <v>23518</v>
      </c>
      <c r="D10" s="11">
        <v>21471</v>
      </c>
      <c r="E10" s="11">
        <v>23369</v>
      </c>
      <c r="F10" s="11">
        <v>21327</v>
      </c>
      <c r="G10" s="11">
        <v>20328</v>
      </c>
      <c r="H10" s="11">
        <v>19893</v>
      </c>
      <c r="I10" s="11">
        <v>21273</v>
      </c>
      <c r="J10" s="11">
        <v>19863</v>
      </c>
      <c r="K10" s="11">
        <v>18927</v>
      </c>
      <c r="L10" s="11">
        <v>19880</v>
      </c>
      <c r="M10" s="11">
        <v>18661</v>
      </c>
      <c r="N10" s="11">
        <v>19232</v>
      </c>
      <c r="O10" s="49">
        <f>SUM(C10:N10)</f>
        <v>247742</v>
      </c>
    </row>
    <row r="11" spans="1:24" ht="14.45" customHeight="1" x14ac:dyDescent="0.2">
      <c r="A11" s="9" t="s">
        <v>62</v>
      </c>
      <c r="B11" s="110" t="s">
        <v>63</v>
      </c>
      <c r="C11" s="140">
        <v>70138</v>
      </c>
      <c r="D11" s="11">
        <v>66465</v>
      </c>
      <c r="E11" s="11">
        <v>82005</v>
      </c>
      <c r="F11" s="11">
        <v>72228</v>
      </c>
      <c r="G11" s="11">
        <v>69726</v>
      </c>
      <c r="H11" s="11">
        <v>65605</v>
      </c>
      <c r="I11" s="11">
        <v>66154</v>
      </c>
      <c r="J11" s="11">
        <v>62700</v>
      </c>
      <c r="K11" s="11">
        <v>58799</v>
      </c>
      <c r="L11" s="11">
        <v>58231</v>
      </c>
      <c r="M11" s="11">
        <v>54763</v>
      </c>
      <c r="N11" s="11">
        <v>58635</v>
      </c>
      <c r="O11" s="49">
        <f t="shared" si="0"/>
        <v>785449</v>
      </c>
    </row>
    <row r="12" spans="1:24" ht="14.45" customHeight="1" x14ac:dyDescent="0.2">
      <c r="A12" s="9" t="s">
        <v>62</v>
      </c>
      <c r="B12" s="110" t="s">
        <v>157</v>
      </c>
      <c r="C12" s="140">
        <v>3286</v>
      </c>
      <c r="D12" s="11">
        <v>2907</v>
      </c>
      <c r="E12" s="11">
        <v>3155</v>
      </c>
      <c r="F12" s="11">
        <v>2952</v>
      </c>
      <c r="G12" s="11">
        <v>3075</v>
      </c>
      <c r="H12" s="11">
        <v>2637</v>
      </c>
      <c r="I12" s="11">
        <v>3031</v>
      </c>
      <c r="J12" s="11">
        <v>2737</v>
      </c>
      <c r="K12" s="11">
        <v>2963</v>
      </c>
      <c r="L12" s="11">
        <v>2510</v>
      </c>
      <c r="M12" s="11">
        <v>2750</v>
      </c>
      <c r="N12" s="11">
        <v>2565</v>
      </c>
      <c r="O12" s="49">
        <f t="shared" si="0"/>
        <v>34568</v>
      </c>
    </row>
    <row r="13" spans="1:24" ht="14.45" customHeight="1" x14ac:dyDescent="0.2">
      <c r="A13" s="9" t="s">
        <v>158</v>
      </c>
      <c r="B13" s="110" t="s">
        <v>353</v>
      </c>
      <c r="C13" s="11">
        <v>119138</v>
      </c>
      <c r="D13" s="11">
        <v>106219</v>
      </c>
      <c r="E13" s="11">
        <v>115358</v>
      </c>
      <c r="F13" s="11">
        <v>105537</v>
      </c>
      <c r="G13" s="11">
        <v>105597</v>
      </c>
      <c r="H13" s="11">
        <v>106431</v>
      </c>
      <c r="I13" s="11">
        <v>107543</v>
      </c>
      <c r="J13" s="11">
        <v>109563</v>
      </c>
      <c r="K13" s="11">
        <v>105224</v>
      </c>
      <c r="L13" s="11">
        <v>106253</v>
      </c>
      <c r="M13" s="11">
        <v>98783</v>
      </c>
      <c r="N13" s="11">
        <v>87356</v>
      </c>
      <c r="O13" s="49">
        <f t="shared" si="0"/>
        <v>1273002</v>
      </c>
    </row>
    <row r="14" spans="1:24" ht="14.45" customHeight="1" x14ac:dyDescent="0.2">
      <c r="A14" s="9" t="s">
        <v>354</v>
      </c>
      <c r="B14" s="110" t="s">
        <v>73</v>
      </c>
      <c r="C14" s="140">
        <v>5204</v>
      </c>
      <c r="D14" s="11">
        <v>4864</v>
      </c>
      <c r="E14" s="11">
        <v>5101</v>
      </c>
      <c r="F14" s="11">
        <v>4992</v>
      </c>
      <c r="G14" s="11">
        <v>4896</v>
      </c>
      <c r="H14" s="11">
        <v>4682</v>
      </c>
      <c r="I14" s="11">
        <v>4821</v>
      </c>
      <c r="J14" s="11">
        <v>4812</v>
      </c>
      <c r="K14" s="11">
        <v>4902</v>
      </c>
      <c r="L14" s="11">
        <v>5178</v>
      </c>
      <c r="M14" s="11">
        <v>4557</v>
      </c>
      <c r="N14" s="11">
        <v>5169</v>
      </c>
      <c r="O14" s="49">
        <f t="shared" si="0"/>
        <v>59178</v>
      </c>
    </row>
    <row r="15" spans="1:24" ht="14.45" customHeight="1" x14ac:dyDescent="0.2">
      <c r="A15" s="9" t="s">
        <v>26</v>
      </c>
      <c r="B15" s="110" t="s">
        <v>65</v>
      </c>
      <c r="C15" s="140">
        <v>461958</v>
      </c>
      <c r="D15" s="11">
        <v>428940</v>
      </c>
      <c r="E15" s="11">
        <v>445790</v>
      </c>
      <c r="F15" s="11">
        <v>397134</v>
      </c>
      <c r="G15" s="11">
        <v>411038</v>
      </c>
      <c r="H15" s="11">
        <v>383532</v>
      </c>
      <c r="I15" s="11">
        <v>391248</v>
      </c>
      <c r="J15" s="11">
        <v>385865</v>
      </c>
      <c r="K15" s="11">
        <v>369358</v>
      </c>
      <c r="L15" s="11">
        <v>377678</v>
      </c>
      <c r="M15" s="11">
        <v>366590</v>
      </c>
      <c r="N15" s="11">
        <v>378882</v>
      </c>
      <c r="O15" s="49">
        <f t="shared" si="0"/>
        <v>4798013</v>
      </c>
    </row>
    <row r="16" spans="1:24" ht="14.45" customHeight="1" x14ac:dyDescent="0.2">
      <c r="A16" s="9" t="s">
        <v>10</v>
      </c>
      <c r="B16" s="110" t="s">
        <v>11</v>
      </c>
      <c r="C16" s="140">
        <v>53126</v>
      </c>
      <c r="D16" s="11">
        <v>48018</v>
      </c>
      <c r="E16" s="11">
        <v>48279</v>
      </c>
      <c r="F16" s="11">
        <v>44262</v>
      </c>
      <c r="G16" s="11">
        <v>43429</v>
      </c>
      <c r="H16" s="11">
        <v>39607</v>
      </c>
      <c r="I16" s="11">
        <v>41605</v>
      </c>
      <c r="J16" s="11">
        <v>40905</v>
      </c>
      <c r="K16" s="11">
        <v>38912</v>
      </c>
      <c r="L16" s="11">
        <v>39235</v>
      </c>
      <c r="M16" s="11">
        <v>35684</v>
      </c>
      <c r="N16" s="11">
        <v>36084</v>
      </c>
      <c r="O16" s="49">
        <f t="shared" si="0"/>
        <v>509146</v>
      </c>
    </row>
    <row r="17" spans="1:33" ht="14.45" customHeight="1" x14ac:dyDescent="0.2">
      <c r="A17" s="9" t="s">
        <v>352</v>
      </c>
      <c r="B17" s="110" t="s">
        <v>160</v>
      </c>
      <c r="C17" s="140">
        <v>1293</v>
      </c>
      <c r="D17" s="11">
        <v>1098</v>
      </c>
      <c r="E17" s="11">
        <v>1186</v>
      </c>
      <c r="F17" s="11">
        <v>1140</v>
      </c>
      <c r="G17" s="11">
        <v>1160</v>
      </c>
      <c r="H17" s="11">
        <v>1003</v>
      </c>
      <c r="I17" s="11">
        <v>1077</v>
      </c>
      <c r="J17" s="11">
        <v>950</v>
      </c>
      <c r="K17" s="52">
        <v>940</v>
      </c>
      <c r="L17" s="52">
        <v>1072</v>
      </c>
      <c r="M17" s="11">
        <v>1014</v>
      </c>
      <c r="N17" s="11">
        <v>959</v>
      </c>
      <c r="O17" s="49">
        <f>SUM(C17:N17)</f>
        <v>12892</v>
      </c>
    </row>
    <row r="18" spans="1:33" ht="14.45" customHeight="1" x14ac:dyDescent="0.2">
      <c r="A18" s="9" t="s">
        <v>352</v>
      </c>
      <c r="B18" s="110" t="s">
        <v>161</v>
      </c>
      <c r="C18" s="139">
        <v>462</v>
      </c>
      <c r="D18" s="52">
        <v>406</v>
      </c>
      <c r="E18" s="52">
        <v>439</v>
      </c>
      <c r="F18" s="52">
        <v>413</v>
      </c>
      <c r="G18" s="52">
        <v>411</v>
      </c>
      <c r="H18" s="52">
        <v>424</v>
      </c>
      <c r="I18" s="52">
        <v>411</v>
      </c>
      <c r="J18" s="52">
        <v>439</v>
      </c>
      <c r="K18" s="52">
        <v>404</v>
      </c>
      <c r="L18" s="52">
        <v>390</v>
      </c>
      <c r="M18" s="52">
        <v>453</v>
      </c>
      <c r="N18" s="52">
        <v>399</v>
      </c>
      <c r="O18" s="49">
        <f t="shared" si="0"/>
        <v>5051</v>
      </c>
    </row>
    <row r="19" spans="1:33" ht="14.45" customHeight="1" x14ac:dyDescent="0.2">
      <c r="A19" s="15" t="s">
        <v>355</v>
      </c>
      <c r="B19" s="15"/>
      <c r="C19" s="16">
        <f>SUM(C8:C18)</f>
        <v>769238</v>
      </c>
      <c r="D19" s="16">
        <f>SUM(D8:D18)</f>
        <v>709373</v>
      </c>
      <c r="E19" s="16">
        <f t="shared" ref="E19:N19" si="1">SUM(E8:E18)</f>
        <v>755947</v>
      </c>
      <c r="F19" s="16">
        <f t="shared" si="1"/>
        <v>678981</v>
      </c>
      <c r="G19" s="16">
        <f t="shared" si="1"/>
        <v>687531</v>
      </c>
      <c r="H19" s="16">
        <f t="shared" si="1"/>
        <v>654683</v>
      </c>
      <c r="I19" s="16">
        <f t="shared" si="1"/>
        <v>670587</v>
      </c>
      <c r="J19" s="16">
        <f t="shared" si="1"/>
        <v>659600</v>
      </c>
      <c r="K19" s="16">
        <f t="shared" si="1"/>
        <v>631154</v>
      </c>
      <c r="L19" s="16">
        <f t="shared" si="1"/>
        <v>641192</v>
      </c>
      <c r="M19" s="16">
        <f t="shared" si="1"/>
        <v>612974</v>
      </c>
      <c r="N19" s="16">
        <f t="shared" si="1"/>
        <v>617804</v>
      </c>
      <c r="O19" s="16">
        <f>SUM(O8:O18)</f>
        <v>8089064</v>
      </c>
    </row>
    <row r="20" spans="1:33" ht="14.45" customHeight="1" x14ac:dyDescent="0.2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</row>
    <row r="21" spans="1:33" ht="14.45" customHeight="1" x14ac:dyDescent="0.2">
      <c r="A21" s="9" t="s">
        <v>75</v>
      </c>
      <c r="B21" s="110" t="s">
        <v>76</v>
      </c>
      <c r="C21" s="140">
        <v>208921</v>
      </c>
      <c r="D21" s="11">
        <v>182140</v>
      </c>
      <c r="E21" s="11">
        <v>187123</v>
      </c>
      <c r="F21" s="11">
        <v>196609</v>
      </c>
      <c r="G21" s="11">
        <v>205367</v>
      </c>
      <c r="H21" s="11">
        <v>181381</v>
      </c>
      <c r="I21" s="11">
        <v>190417</v>
      </c>
      <c r="J21" s="11">
        <v>195569</v>
      </c>
      <c r="K21" s="11">
        <v>169782</v>
      </c>
      <c r="L21" s="11">
        <v>191881</v>
      </c>
      <c r="M21" s="11">
        <v>186390</v>
      </c>
      <c r="N21" s="11">
        <v>177302</v>
      </c>
      <c r="O21" s="49">
        <f>SUM(C21:N21)</f>
        <v>2272882</v>
      </c>
    </row>
    <row r="22" spans="1:33" ht="21" customHeight="1" x14ac:dyDescent="0.2">
      <c r="A22" s="142" t="s">
        <v>356</v>
      </c>
      <c r="B22" s="110" t="s">
        <v>52</v>
      </c>
      <c r="C22" s="52">
        <v>0</v>
      </c>
      <c r="D22" s="11">
        <v>32492</v>
      </c>
      <c r="E22" s="11">
        <v>0</v>
      </c>
      <c r="F22" s="52">
        <v>0</v>
      </c>
      <c r="G22" s="11">
        <v>0</v>
      </c>
      <c r="H22" s="52">
        <v>0</v>
      </c>
      <c r="I22" s="11">
        <v>0</v>
      </c>
      <c r="J22" s="11">
        <v>0</v>
      </c>
      <c r="K22" s="52">
        <v>0</v>
      </c>
      <c r="L22" s="11">
        <v>0</v>
      </c>
      <c r="M22" s="52">
        <v>0</v>
      </c>
      <c r="N22" s="11">
        <v>0</v>
      </c>
      <c r="O22" s="49">
        <f>SUM(C22:N22)</f>
        <v>32492</v>
      </c>
    </row>
    <row r="23" spans="1:33" ht="21" customHeight="1" x14ac:dyDescent="0.2">
      <c r="A23" s="142" t="s">
        <v>75</v>
      </c>
      <c r="B23" s="110" t="s">
        <v>164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49">
        <f>SUM(C23:N23)</f>
        <v>0</v>
      </c>
    </row>
    <row r="24" spans="1:33" ht="14.45" customHeight="1" x14ac:dyDescent="0.2">
      <c r="A24" s="15" t="s">
        <v>357</v>
      </c>
      <c r="B24" s="15"/>
      <c r="C24" s="16">
        <f>SUM(C21:C23)</f>
        <v>208921</v>
      </c>
      <c r="D24" s="16">
        <f t="shared" ref="D24:N24" si="2">SUM(D21:D23)</f>
        <v>214632</v>
      </c>
      <c r="E24" s="16">
        <f t="shared" si="2"/>
        <v>187123</v>
      </c>
      <c r="F24" s="16">
        <f t="shared" si="2"/>
        <v>196609</v>
      </c>
      <c r="G24" s="16">
        <f t="shared" si="2"/>
        <v>205367</v>
      </c>
      <c r="H24" s="16">
        <f t="shared" si="2"/>
        <v>181381</v>
      </c>
      <c r="I24" s="16">
        <f t="shared" si="2"/>
        <v>190417</v>
      </c>
      <c r="J24" s="16">
        <f t="shared" si="2"/>
        <v>195569</v>
      </c>
      <c r="K24" s="16">
        <f t="shared" si="2"/>
        <v>169782</v>
      </c>
      <c r="L24" s="16">
        <f t="shared" si="2"/>
        <v>191881</v>
      </c>
      <c r="M24" s="16">
        <f t="shared" si="2"/>
        <v>186390</v>
      </c>
      <c r="N24" s="16">
        <f t="shared" si="2"/>
        <v>177302</v>
      </c>
      <c r="O24" s="16">
        <f>SUM(O21:O23)</f>
        <v>2305374</v>
      </c>
      <c r="Q24" s="1" t="s">
        <v>513</v>
      </c>
    </row>
    <row r="25" spans="1:33" ht="14.45" customHeight="1" x14ac:dyDescent="0.2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</row>
    <row r="26" spans="1:33" ht="14.45" customHeight="1" x14ac:dyDescent="0.2">
      <c r="A26" s="9" t="s">
        <v>358</v>
      </c>
      <c r="B26" s="110">
        <v>192</v>
      </c>
      <c r="C26" s="11">
        <v>266445</v>
      </c>
      <c r="D26" s="11">
        <v>209090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49">
        <f t="shared" ref="O26:O30" si="3">SUM(C26:N26)</f>
        <v>475535</v>
      </c>
    </row>
    <row r="27" spans="1:33" ht="12" customHeight="1" x14ac:dyDescent="0.2">
      <c r="A27" s="9" t="s">
        <v>359</v>
      </c>
      <c r="B27" s="110">
        <v>8</v>
      </c>
      <c r="C27" s="11">
        <v>144069</v>
      </c>
      <c r="D27" s="11">
        <v>212852</v>
      </c>
      <c r="E27" s="11">
        <v>149550</v>
      </c>
      <c r="F27" s="11">
        <v>87462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49">
        <f t="shared" si="3"/>
        <v>593933</v>
      </c>
      <c r="S27" s="508" t="s">
        <v>523</v>
      </c>
      <c r="T27" s="508"/>
      <c r="U27" s="508"/>
      <c r="V27" s="508"/>
      <c r="W27" s="508"/>
      <c r="X27" s="508"/>
      <c r="Y27" s="508"/>
    </row>
    <row r="28" spans="1:33" ht="14.45" customHeight="1" x14ac:dyDescent="0.2">
      <c r="A28" s="9" t="s">
        <v>165</v>
      </c>
      <c r="B28" s="110">
        <v>67</v>
      </c>
      <c r="C28" s="143">
        <v>87759</v>
      </c>
      <c r="D28" s="143">
        <v>72157</v>
      </c>
      <c r="E28" s="143">
        <v>86813</v>
      </c>
      <c r="F28" s="143">
        <v>0</v>
      </c>
      <c r="G28" s="143">
        <v>0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  <c r="M28" s="143">
        <v>0</v>
      </c>
      <c r="N28" s="143">
        <v>0</v>
      </c>
      <c r="O28" s="49">
        <f t="shared" si="3"/>
        <v>246729</v>
      </c>
      <c r="S28" s="508"/>
      <c r="T28" s="508"/>
      <c r="U28" s="508"/>
      <c r="V28" s="508"/>
      <c r="W28" s="508"/>
      <c r="X28" s="508"/>
      <c r="Y28" s="508"/>
    </row>
    <row r="29" spans="1:33" ht="14.45" customHeight="1" x14ac:dyDescent="0.2">
      <c r="A29" s="9" t="s">
        <v>81</v>
      </c>
      <c r="B29" s="110">
        <v>95</v>
      </c>
      <c r="C29" s="143">
        <v>294208</v>
      </c>
      <c r="D29" s="143">
        <v>282582</v>
      </c>
      <c r="E29" s="143">
        <v>313123</v>
      </c>
      <c r="F29" s="143">
        <v>342004</v>
      </c>
      <c r="G29" s="143">
        <v>21786</v>
      </c>
      <c r="H29" s="143">
        <v>0</v>
      </c>
      <c r="I29" s="143">
        <v>154516</v>
      </c>
      <c r="J29" s="143">
        <v>54921</v>
      </c>
      <c r="K29" s="143">
        <v>21377</v>
      </c>
      <c r="L29" s="143">
        <v>287522</v>
      </c>
      <c r="M29" s="143">
        <v>155706</v>
      </c>
      <c r="N29" s="143">
        <v>137696</v>
      </c>
      <c r="O29" s="49">
        <f t="shared" si="3"/>
        <v>2065441</v>
      </c>
    </row>
    <row r="30" spans="1:33" ht="14.45" customHeight="1" x14ac:dyDescent="0.2">
      <c r="A30" s="9" t="s">
        <v>27</v>
      </c>
      <c r="B30" s="110">
        <v>131</v>
      </c>
      <c r="C30" s="11">
        <v>83273</v>
      </c>
      <c r="D30" s="11">
        <v>72938</v>
      </c>
      <c r="E30" s="11">
        <v>74005</v>
      </c>
      <c r="F30" s="11">
        <v>68968</v>
      </c>
      <c r="G30" s="11">
        <v>63273</v>
      </c>
      <c r="H30" s="11">
        <v>62148</v>
      </c>
      <c r="I30" s="11">
        <v>61148</v>
      </c>
      <c r="J30" s="11">
        <v>57536</v>
      </c>
      <c r="K30" s="11">
        <v>52637</v>
      </c>
      <c r="L30" s="11">
        <v>52801</v>
      </c>
      <c r="M30" s="11">
        <v>49459</v>
      </c>
      <c r="N30" s="11">
        <v>47578</v>
      </c>
      <c r="O30" s="49">
        <f t="shared" si="3"/>
        <v>745764</v>
      </c>
      <c r="Z30" s="438" t="s">
        <v>524</v>
      </c>
      <c r="AA30" s="438"/>
      <c r="AB30" s="438"/>
      <c r="AC30" s="265"/>
      <c r="AD30" s="265"/>
      <c r="AE30" s="265"/>
      <c r="AF30" s="265"/>
      <c r="AG30" s="266"/>
    </row>
    <row r="31" spans="1:33" ht="14.45" customHeight="1" x14ac:dyDescent="0.2">
      <c r="A31" s="15" t="s">
        <v>361</v>
      </c>
      <c r="B31" s="15"/>
      <c r="C31" s="16">
        <f t="shared" ref="C31:O31" si="4">SUM(C26:C30)</f>
        <v>875754</v>
      </c>
      <c r="D31" s="16">
        <f t="shared" si="4"/>
        <v>849619</v>
      </c>
      <c r="E31" s="16">
        <f t="shared" si="4"/>
        <v>623491</v>
      </c>
      <c r="F31" s="16">
        <f t="shared" si="4"/>
        <v>498434</v>
      </c>
      <c r="G31" s="16">
        <f t="shared" si="4"/>
        <v>85059</v>
      </c>
      <c r="H31" s="16">
        <f t="shared" si="4"/>
        <v>62148</v>
      </c>
      <c r="I31" s="16">
        <f t="shared" si="4"/>
        <v>215664</v>
      </c>
      <c r="J31" s="16">
        <f t="shared" si="4"/>
        <v>112457</v>
      </c>
      <c r="K31" s="16">
        <f t="shared" si="4"/>
        <v>74014</v>
      </c>
      <c r="L31" s="16">
        <f t="shared" si="4"/>
        <v>340323</v>
      </c>
      <c r="M31" s="16">
        <f t="shared" si="4"/>
        <v>205165</v>
      </c>
      <c r="N31" s="16">
        <f t="shared" si="4"/>
        <v>185274</v>
      </c>
      <c r="O31" s="16">
        <f t="shared" si="4"/>
        <v>4127402</v>
      </c>
      <c r="Z31" s="438"/>
      <c r="AA31" s="438"/>
      <c r="AB31" s="438"/>
      <c r="AC31" s="265"/>
      <c r="AD31" s="265"/>
      <c r="AE31" s="265"/>
      <c r="AF31" s="265"/>
      <c r="AG31" s="266"/>
    </row>
    <row r="32" spans="1:33" ht="14.45" customHeight="1" x14ac:dyDescent="0.2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Z32" s="438"/>
      <c r="AA32" s="438"/>
      <c r="AB32" s="438"/>
      <c r="AC32" s="265"/>
      <c r="AD32" s="265"/>
      <c r="AE32" s="265"/>
      <c r="AF32" s="265"/>
      <c r="AG32" s="266"/>
    </row>
    <row r="33" spans="1:33" ht="22.5" x14ac:dyDescent="0.2">
      <c r="A33" s="144" t="s">
        <v>362</v>
      </c>
      <c r="B33" s="144"/>
      <c r="C33" s="145">
        <f t="shared" ref="C33:O33" si="5">SUM(C31+C24+C19)</f>
        <v>1853913</v>
      </c>
      <c r="D33" s="145">
        <f t="shared" si="5"/>
        <v>1773624</v>
      </c>
      <c r="E33" s="145">
        <f t="shared" si="5"/>
        <v>1566561</v>
      </c>
      <c r="F33" s="145">
        <f t="shared" si="5"/>
        <v>1374024</v>
      </c>
      <c r="G33" s="145">
        <f t="shared" si="5"/>
        <v>977957</v>
      </c>
      <c r="H33" s="145">
        <f t="shared" si="5"/>
        <v>898212</v>
      </c>
      <c r="I33" s="145">
        <f t="shared" si="5"/>
        <v>1076668</v>
      </c>
      <c r="J33" s="145">
        <f t="shared" si="5"/>
        <v>967626</v>
      </c>
      <c r="K33" s="145">
        <f t="shared" si="5"/>
        <v>874950</v>
      </c>
      <c r="L33" s="145">
        <f t="shared" si="5"/>
        <v>1173396</v>
      </c>
      <c r="M33" s="145">
        <f t="shared" si="5"/>
        <v>1004529</v>
      </c>
      <c r="N33" s="145">
        <f t="shared" si="5"/>
        <v>980380</v>
      </c>
      <c r="O33" s="145">
        <f t="shared" si="5"/>
        <v>14521840</v>
      </c>
      <c r="Z33" s="438"/>
      <c r="AA33" s="438"/>
      <c r="AB33" s="438"/>
      <c r="AC33" s="266"/>
      <c r="AD33" s="266"/>
      <c r="AE33" s="266"/>
      <c r="AF33" s="266"/>
      <c r="AG33" s="266"/>
    </row>
    <row r="34" spans="1:33" ht="14.45" customHeight="1" x14ac:dyDescent="0.2">
      <c r="A34" s="146"/>
      <c r="B34" s="146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Z34" s="265"/>
      <c r="AA34" s="265"/>
      <c r="AB34" s="265"/>
      <c r="AC34" s="266"/>
    </row>
    <row r="35" spans="1:33" ht="14.45" customHeight="1" x14ac:dyDescent="0.2">
      <c r="A35" s="510" t="s">
        <v>363</v>
      </c>
      <c r="B35" s="510"/>
      <c r="C35" s="510"/>
      <c r="D35" s="510"/>
      <c r="E35" s="510"/>
      <c r="F35" s="510"/>
      <c r="G35" s="510"/>
      <c r="H35" s="510"/>
      <c r="I35" s="510"/>
      <c r="J35" s="510"/>
      <c r="K35" s="510"/>
      <c r="L35" s="510"/>
      <c r="M35" s="510"/>
      <c r="N35" s="510"/>
      <c r="O35" s="510"/>
      <c r="Z35" s="265"/>
      <c r="AA35" s="265"/>
      <c r="AB35" s="265"/>
      <c r="AC35" s="266"/>
    </row>
    <row r="36" spans="1:33" ht="14.45" customHeight="1" x14ac:dyDescent="0.2">
      <c r="A36" s="9" t="s">
        <v>75</v>
      </c>
      <c r="B36" s="111" t="s">
        <v>76</v>
      </c>
      <c r="C36" s="11">
        <v>31396</v>
      </c>
      <c r="D36" s="11">
        <v>30867</v>
      </c>
      <c r="E36" s="11">
        <v>32848</v>
      </c>
      <c r="F36" s="11">
        <v>33466</v>
      </c>
      <c r="G36" s="11">
        <v>32707</v>
      </c>
      <c r="H36" s="11">
        <v>26961</v>
      </c>
      <c r="I36" s="11">
        <v>26121</v>
      </c>
      <c r="J36" s="11">
        <v>27348</v>
      </c>
      <c r="K36" s="11">
        <v>28043</v>
      </c>
      <c r="L36" s="11">
        <v>27299</v>
      </c>
      <c r="M36" s="11">
        <v>26510</v>
      </c>
      <c r="N36" s="11">
        <v>27638</v>
      </c>
      <c r="O36" s="49">
        <f>SUM(C36:N36)</f>
        <v>351204</v>
      </c>
      <c r="Z36" s="265"/>
      <c r="AA36" s="265"/>
      <c r="AB36" s="265"/>
      <c r="AC36" s="266"/>
    </row>
    <row r="37" spans="1:33" ht="14.45" customHeight="1" x14ac:dyDescent="0.2">
      <c r="A37" s="15" t="s">
        <v>364</v>
      </c>
      <c r="B37" s="148"/>
      <c r="C37" s="149">
        <f>SUM(C36)</f>
        <v>31396</v>
      </c>
      <c r="D37" s="149">
        <f t="shared" ref="D37:N37" si="6">SUM(D36)</f>
        <v>30867</v>
      </c>
      <c r="E37" s="149">
        <f t="shared" si="6"/>
        <v>32848</v>
      </c>
      <c r="F37" s="149">
        <f t="shared" si="6"/>
        <v>33466</v>
      </c>
      <c r="G37" s="149">
        <f t="shared" si="6"/>
        <v>32707</v>
      </c>
      <c r="H37" s="149">
        <f t="shared" si="6"/>
        <v>26961</v>
      </c>
      <c r="I37" s="149">
        <f t="shared" si="6"/>
        <v>26121</v>
      </c>
      <c r="J37" s="149">
        <f t="shared" si="6"/>
        <v>27348</v>
      </c>
      <c r="K37" s="149">
        <f t="shared" si="6"/>
        <v>28043</v>
      </c>
      <c r="L37" s="149">
        <f t="shared" si="6"/>
        <v>27299</v>
      </c>
      <c r="M37" s="149">
        <f t="shared" si="6"/>
        <v>26510</v>
      </c>
      <c r="N37" s="149">
        <f t="shared" si="6"/>
        <v>27638</v>
      </c>
      <c r="O37" s="149">
        <f>SUM(O36)</f>
        <v>351204</v>
      </c>
      <c r="Z37" s="265"/>
      <c r="AA37" s="265"/>
      <c r="AB37" s="265"/>
      <c r="AC37" s="266"/>
    </row>
    <row r="38" spans="1:33" ht="14.45" customHeight="1" x14ac:dyDescent="0.2">
      <c r="A38" s="110"/>
      <c r="B38" s="110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</row>
    <row r="39" spans="1:33" ht="14.45" customHeight="1" x14ac:dyDescent="0.2">
      <c r="A39" s="9" t="s">
        <v>365</v>
      </c>
      <c r="B39" s="110" t="s">
        <v>163</v>
      </c>
      <c r="C39" s="11">
        <v>17559</v>
      </c>
      <c r="D39" s="11">
        <v>16359</v>
      </c>
      <c r="E39" s="11">
        <v>16421</v>
      </c>
      <c r="F39" s="11">
        <v>16706</v>
      </c>
      <c r="G39" s="11">
        <v>17493</v>
      </c>
      <c r="H39" s="11">
        <v>16200</v>
      </c>
      <c r="I39" s="11">
        <v>9369</v>
      </c>
      <c r="J39" s="11">
        <v>13859</v>
      </c>
      <c r="K39" s="11">
        <v>14582</v>
      </c>
      <c r="L39" s="11">
        <v>3879</v>
      </c>
      <c r="M39" s="11">
        <v>13352</v>
      </c>
      <c r="N39" s="11">
        <v>12347</v>
      </c>
      <c r="O39" s="49">
        <f>SUM(C39:N39)</f>
        <v>168126</v>
      </c>
    </row>
    <row r="40" spans="1:33" ht="14.45" customHeight="1" x14ac:dyDescent="0.2">
      <c r="A40" s="9" t="s">
        <v>29</v>
      </c>
      <c r="B40" s="110">
        <v>88</v>
      </c>
      <c r="C40" s="11">
        <v>1510363</v>
      </c>
      <c r="D40" s="11">
        <v>1507415</v>
      </c>
      <c r="E40" s="11">
        <v>1265815</v>
      </c>
      <c r="F40" s="11">
        <v>1063000</v>
      </c>
      <c r="G40" s="11">
        <v>1295195</v>
      </c>
      <c r="H40" s="11">
        <v>1524393</v>
      </c>
      <c r="I40" s="11">
        <v>1591279</v>
      </c>
      <c r="J40" s="11">
        <v>1643330</v>
      </c>
      <c r="K40" s="11">
        <v>1633738</v>
      </c>
      <c r="L40" s="11">
        <v>1660080</v>
      </c>
      <c r="M40" s="11">
        <v>1600857</v>
      </c>
      <c r="N40" s="11">
        <v>1537786</v>
      </c>
      <c r="O40" s="49">
        <f>SUM(C40:N40)</f>
        <v>17833251</v>
      </c>
    </row>
    <row r="41" spans="1:33" ht="14.45" customHeight="1" x14ac:dyDescent="0.2">
      <c r="A41" s="9" t="s">
        <v>30</v>
      </c>
      <c r="B41" s="110">
        <v>57</v>
      </c>
      <c r="C41" s="11">
        <v>389564</v>
      </c>
      <c r="D41" s="11">
        <v>390515</v>
      </c>
      <c r="E41" s="11">
        <v>341175</v>
      </c>
      <c r="F41" s="11">
        <v>377283</v>
      </c>
      <c r="G41" s="11">
        <v>358024</v>
      </c>
      <c r="H41" s="11">
        <v>184845</v>
      </c>
      <c r="I41" s="11">
        <v>416402</v>
      </c>
      <c r="J41" s="11">
        <v>372298</v>
      </c>
      <c r="K41" s="11">
        <v>376600</v>
      </c>
      <c r="L41" s="11">
        <v>340455</v>
      </c>
      <c r="M41" s="11">
        <v>400159</v>
      </c>
      <c r="N41" s="11">
        <v>415505</v>
      </c>
      <c r="O41" s="49">
        <f>SUM(C41:N41)</f>
        <v>4362825</v>
      </c>
    </row>
    <row r="42" spans="1:33" ht="14.45" customHeight="1" x14ac:dyDescent="0.2">
      <c r="A42" s="9" t="s">
        <v>29</v>
      </c>
      <c r="B42" s="110">
        <v>56</v>
      </c>
      <c r="C42" s="11">
        <v>730481</v>
      </c>
      <c r="D42" s="11">
        <v>674378</v>
      </c>
      <c r="E42" s="11">
        <v>585860</v>
      </c>
      <c r="F42" s="11">
        <v>723760</v>
      </c>
      <c r="G42" s="11">
        <v>745045</v>
      </c>
      <c r="H42" s="11">
        <v>771688</v>
      </c>
      <c r="I42" s="11">
        <v>704978</v>
      </c>
      <c r="J42" s="11">
        <v>689969</v>
      </c>
      <c r="K42" s="11">
        <v>672305</v>
      </c>
      <c r="L42" s="11">
        <v>576989</v>
      </c>
      <c r="M42" s="11">
        <v>671807</v>
      </c>
      <c r="N42" s="11">
        <v>827077</v>
      </c>
      <c r="O42" s="49">
        <f>SUM(C42:N42)</f>
        <v>8374337</v>
      </c>
    </row>
    <row r="43" spans="1:33" ht="14.45" customHeight="1" x14ac:dyDescent="0.2">
      <c r="A43" s="15" t="s">
        <v>366</v>
      </c>
      <c r="B43" s="15"/>
      <c r="C43" s="149">
        <f>SUM(C39:C42)</f>
        <v>2647967</v>
      </c>
      <c r="D43" s="149">
        <f t="shared" ref="D43:N43" si="7">SUM(D39:D42)</f>
        <v>2588667</v>
      </c>
      <c r="E43" s="149">
        <f t="shared" si="7"/>
        <v>2209271</v>
      </c>
      <c r="F43" s="149">
        <f t="shared" si="7"/>
        <v>2180749</v>
      </c>
      <c r="G43" s="149">
        <f t="shared" si="7"/>
        <v>2415757</v>
      </c>
      <c r="H43" s="149">
        <f t="shared" si="7"/>
        <v>2497126</v>
      </c>
      <c r="I43" s="149">
        <f t="shared" si="7"/>
        <v>2722028</v>
      </c>
      <c r="J43" s="149">
        <f t="shared" si="7"/>
        <v>2719456</v>
      </c>
      <c r="K43" s="149">
        <f t="shared" si="7"/>
        <v>2697225</v>
      </c>
      <c r="L43" s="149">
        <f t="shared" si="7"/>
        <v>2581403</v>
      </c>
      <c r="M43" s="149">
        <f t="shared" si="7"/>
        <v>2686175</v>
      </c>
      <c r="N43" s="149">
        <f t="shared" si="7"/>
        <v>2792715</v>
      </c>
      <c r="O43" s="16">
        <f>SUM(O39:O42)</f>
        <v>30738539</v>
      </c>
    </row>
    <row r="44" spans="1:33" ht="14.45" customHeight="1" x14ac:dyDescent="0.2">
      <c r="A44" s="110"/>
      <c r="B44" s="11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S44" s="1" t="s">
        <v>513</v>
      </c>
    </row>
    <row r="45" spans="1:33" ht="24" customHeight="1" x14ac:dyDescent="0.2">
      <c r="A45" s="507" t="s">
        <v>367</v>
      </c>
      <c r="B45" s="507"/>
      <c r="C45" s="145">
        <f>SUM(C37+C43)</f>
        <v>2679363</v>
      </c>
      <c r="D45" s="145">
        <f t="shared" ref="D45:N45" si="8">SUM(D37+D43)</f>
        <v>2619534</v>
      </c>
      <c r="E45" s="145">
        <f>SUM(E37+E43)</f>
        <v>2242119</v>
      </c>
      <c r="F45" s="145">
        <f t="shared" si="8"/>
        <v>2214215</v>
      </c>
      <c r="G45" s="145">
        <f t="shared" si="8"/>
        <v>2448464</v>
      </c>
      <c r="H45" s="145">
        <f t="shared" si="8"/>
        <v>2524087</v>
      </c>
      <c r="I45" s="145">
        <f t="shared" si="8"/>
        <v>2748149</v>
      </c>
      <c r="J45" s="145">
        <f t="shared" si="8"/>
        <v>2746804</v>
      </c>
      <c r="K45" s="145">
        <f t="shared" si="8"/>
        <v>2725268</v>
      </c>
      <c r="L45" s="145">
        <f t="shared" si="8"/>
        <v>2608702</v>
      </c>
      <c r="M45" s="145">
        <f t="shared" si="8"/>
        <v>2712685</v>
      </c>
      <c r="N45" s="145">
        <f t="shared" si="8"/>
        <v>2820353</v>
      </c>
      <c r="O45" s="145">
        <f>SUM(O37+O43)</f>
        <v>31089743</v>
      </c>
      <c r="S45" s="1"/>
    </row>
    <row r="46" spans="1:33" ht="14.45" customHeight="1" x14ac:dyDescent="0.2">
      <c r="A46" s="146"/>
      <c r="B46" s="146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33" ht="33.75" customHeight="1" x14ac:dyDescent="0.2">
      <c r="A47" s="432" t="s">
        <v>368</v>
      </c>
      <c r="B47" s="432"/>
      <c r="C47" s="22">
        <f>C33+C45</f>
        <v>4533276</v>
      </c>
      <c r="D47" s="22">
        <f t="shared" ref="D47:N47" si="9">D33+D45</f>
        <v>4393158</v>
      </c>
      <c r="E47" s="22">
        <f t="shared" si="9"/>
        <v>3808680</v>
      </c>
      <c r="F47" s="22">
        <f t="shared" si="9"/>
        <v>3588239</v>
      </c>
      <c r="G47" s="22">
        <f t="shared" si="9"/>
        <v>3426421</v>
      </c>
      <c r="H47" s="22">
        <f t="shared" si="9"/>
        <v>3422299</v>
      </c>
      <c r="I47" s="22">
        <f t="shared" si="9"/>
        <v>3824817</v>
      </c>
      <c r="J47" s="22">
        <f t="shared" si="9"/>
        <v>3714430</v>
      </c>
      <c r="K47" s="22">
        <f t="shared" si="9"/>
        <v>3600218</v>
      </c>
      <c r="L47" s="22">
        <f t="shared" si="9"/>
        <v>3782098</v>
      </c>
      <c r="M47" s="22">
        <f t="shared" si="9"/>
        <v>3717214</v>
      </c>
      <c r="N47" s="22">
        <f t="shared" si="9"/>
        <v>3800733</v>
      </c>
      <c r="O47" s="22">
        <f>O33+O45</f>
        <v>45611583</v>
      </c>
      <c r="S47" s="150" t="s">
        <v>369</v>
      </c>
      <c r="T47" s="151">
        <f>+O24+O37</f>
        <v>2656578</v>
      </c>
    </row>
    <row r="48" spans="1:33" ht="12.75" x14ac:dyDescent="0.2">
      <c r="S48" s="150" t="s">
        <v>147</v>
      </c>
      <c r="T48" s="151">
        <f>+O31+O43</f>
        <v>34865941</v>
      </c>
    </row>
    <row r="49" spans="1:20" ht="12.75" x14ac:dyDescent="0.2">
      <c r="A49" s="1" t="s">
        <v>513</v>
      </c>
      <c r="S49" s="150" t="s">
        <v>370</v>
      </c>
      <c r="T49" s="151">
        <f>+O19</f>
        <v>8089064</v>
      </c>
    </row>
    <row r="50" spans="1:20" ht="12.75" x14ac:dyDescent="0.2">
      <c r="S50" s="150"/>
      <c r="T50" s="151">
        <f>+SUM(T47:T49)</f>
        <v>45611583</v>
      </c>
    </row>
    <row r="51" spans="1:20" ht="12.75" x14ac:dyDescent="0.2">
      <c r="S51" s="150"/>
      <c r="T51" s="150"/>
    </row>
  </sheetData>
  <mergeCells count="10">
    <mergeCell ref="A2:O2"/>
    <mergeCell ref="A4:O4"/>
    <mergeCell ref="A5:O5"/>
    <mergeCell ref="A7:O7"/>
    <mergeCell ref="A35:O35"/>
    <mergeCell ref="A45:B45"/>
    <mergeCell ref="A47:B47"/>
    <mergeCell ref="Q7:X8"/>
    <mergeCell ref="Z30:AB33"/>
    <mergeCell ref="S27:Y28"/>
  </mergeCells>
  <pageMargins left="0.7" right="0.7" top="0.75" bottom="0.75" header="0.3" footer="0.3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1</vt:i4>
      </vt:variant>
    </vt:vector>
  </HeadingPairs>
  <TitlesOfParts>
    <vt:vector size="52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biodiesel</vt:lpstr>
      <vt:lpstr>44</vt:lpstr>
      <vt:lpstr>44 (2)</vt:lpstr>
      <vt:lpstr>45</vt:lpstr>
      <vt:lpstr>CALIDDA</vt:lpstr>
      <vt:lpstr>CONTUGAS</vt:lpstr>
      <vt:lpstr>QUAVII</vt:lpstr>
      <vt:lpstr>NATURGY</vt:lpstr>
      <vt:lpstr>Hoja2</vt:lpstr>
      <vt:lpstr>'21'!Área_de_impresión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FUERTE CUIPA LEIDY ROCIO</dc:creator>
  <cp:lastModifiedBy>ZARATE MORAN MELISSA DEL ROSARIO</cp:lastModifiedBy>
  <dcterms:created xsi:type="dcterms:W3CDTF">2021-03-23T21:55:39Z</dcterms:created>
  <dcterms:modified xsi:type="dcterms:W3CDTF">2021-11-16T21:01:12Z</dcterms:modified>
</cp:coreProperties>
</file>